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24720" windowHeight="11310"/>
  </bookViews>
  <sheets>
    <sheet name="Overall" sheetId="1" r:id="rId1"/>
    <sheet name="LSRV + DRV" sheetId="2" r:id="rId2"/>
  </sheets>
  <externalReferences>
    <externalReference r:id="rId3"/>
    <externalReference r:id="rId4"/>
  </externalReferences>
  <definedNames>
    <definedName name="__123Graph_X" localSheetId="1" hidden="1">'[1]Management '!#REF!</definedName>
    <definedName name="__123Graph_X" localSheetId="0" hidden="1">'[1]Management '!#REF!</definedName>
    <definedName name="__123Graph_X" hidden="1">'[1]Management '!#REF!</definedName>
    <definedName name="_Key1" localSheetId="1" hidden="1">#REF!</definedName>
    <definedName name="_Key1" localSheetId="0" hidden="1">#REF!</definedName>
    <definedName name="_Key1" hidden="1">#REF!</definedName>
    <definedName name="_Key1a" localSheetId="1" hidden="1">#REF!</definedName>
    <definedName name="_Key1a" localSheetId="0" hidden="1">#REF!</definedName>
    <definedName name="_Key1a" hidden="1">#REF!</definedName>
    <definedName name="_Key2" localSheetId="1" hidden="1">#REF!</definedName>
    <definedName name="_Key2" localSheetId="0" hidden="1">#REF!</definedName>
    <definedName name="_Key2" hidden="1">#REF!</definedName>
    <definedName name="_Key2a" localSheetId="1" hidden="1">#REF!</definedName>
    <definedName name="_Key2a" localSheetId="0" hidden="1">#REF!</definedName>
    <definedName name="_Key2a" hidden="1">#REF!</definedName>
    <definedName name="_Order1" hidden="1">0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nscount" hidden="1">6</definedName>
    <definedName name="BLPH3" localSheetId="1" hidden="1">#REF!</definedName>
    <definedName name="BLPH3" localSheetId="0" hidden="1">#REF!</definedName>
    <definedName name="BLPH3" hidden="1">#REF!</definedName>
    <definedName name="BLPH3a" localSheetId="1" hidden="1">#REF!</definedName>
    <definedName name="BLPH3a" localSheetId="0" hidden="1">#REF!</definedName>
    <definedName name="BLPH3a" hidden="1">#REF!</definedName>
    <definedName name="BLPH4" localSheetId="1" hidden="1">#REF!</definedName>
    <definedName name="BLPH4" localSheetId="0" hidden="1">#REF!</definedName>
    <definedName name="BLPH4" hidden="1">#REF!</definedName>
    <definedName name="BLPH4a" localSheetId="1" hidden="1">#REF!</definedName>
    <definedName name="BLPH4a" localSheetId="0" hidden="1">#REF!</definedName>
    <definedName name="BLPH4a" hidden="1">#REF!</definedName>
    <definedName name="BLPH5" localSheetId="1" hidden="1">#REF!</definedName>
    <definedName name="BLPH5" localSheetId="0" hidden="1">#REF!</definedName>
    <definedName name="BLPH5" hidden="1">#REF!</definedName>
    <definedName name="BLPH5a" localSheetId="1" hidden="1">#REF!</definedName>
    <definedName name="BLPH5a" localSheetId="0" hidden="1">#REF!</definedName>
    <definedName name="BLPH5a" hidden="1">#REF!</definedName>
    <definedName name="BLPH6" localSheetId="1" hidden="1">#REF!</definedName>
    <definedName name="BLPH6" localSheetId="0" hidden="1">#REF!</definedName>
    <definedName name="BLPH6" hidden="1">#REF!</definedName>
    <definedName name="BLPH6a" localSheetId="1" hidden="1">#REF!</definedName>
    <definedName name="BLPH6a" localSheetId="0" hidden="1">#REF!</definedName>
    <definedName name="BLPH6a" hidden="1">#REF!</definedName>
    <definedName name="BLPH7" localSheetId="1" hidden="1">#REF!</definedName>
    <definedName name="BLPH7" localSheetId="0" hidden="1">#REF!</definedName>
    <definedName name="BLPH7" hidden="1">#REF!</definedName>
    <definedName name="BLPH7a" localSheetId="1" hidden="1">#REF!</definedName>
    <definedName name="BLPH7a" localSheetId="0" hidden="1">#REF!</definedName>
    <definedName name="BLPH7a" hidden="1">#REF!</definedName>
    <definedName name="BLPH8" localSheetId="1" hidden="1">#REF!</definedName>
    <definedName name="BLPH8" localSheetId="0" hidden="1">#REF!</definedName>
    <definedName name="BLPH8" hidden="1">#REF!</definedName>
    <definedName name="BLPH8a" localSheetId="1" hidden="1">#REF!</definedName>
    <definedName name="BLPH8a" localSheetId="0" hidden="1">#REF!</definedName>
    <definedName name="BLPH8a" hidden="1">#REF!</definedName>
    <definedName name="BLPH9" localSheetId="1" hidden="1">#REF!</definedName>
    <definedName name="BLPH9" localSheetId="0" hidden="1">#REF!</definedName>
    <definedName name="BLPH9" hidden="1">#REF!</definedName>
    <definedName name="BLPH9a" localSheetId="1" hidden="1">#REF!</definedName>
    <definedName name="BLPH9a" localSheetId="0" hidden="1">#REF!</definedName>
    <definedName name="BLPH9a" hidden="1">#REF!</definedName>
    <definedName name="CBWorkbookPriority" hidden="1">-1222570646</definedName>
    <definedName name="DSIndHistHiddenYear1" localSheetId="1" hidden="1">[2]DS_Industry_Specif!#REF!</definedName>
    <definedName name="DSIndHistHiddenYear1" localSheetId="0" hidden="1">[2]DS_Industry_Specif!#REF!</definedName>
    <definedName name="DSIndHistHiddenYear1" hidden="1">[2]DS_Industry_Specif!#REF!</definedName>
    <definedName name="DSIndHistHiddenYear2" localSheetId="1" hidden="1">[2]DS_Industry_Specif!#REF!</definedName>
    <definedName name="DSIndHistHiddenYear2" localSheetId="0" hidden="1">[2]DS_Industry_Specif!#REF!</definedName>
    <definedName name="DSIndHistHiddenYear2" hidden="1">[2]DS_Industry_Specif!#REF!</definedName>
    <definedName name="DSIndHistHiddenYear3" localSheetId="1" hidden="1">[2]DS_Industry_Specif!#REF!</definedName>
    <definedName name="DSIndHistHiddenYear3" localSheetId="0" hidden="1">[2]DS_Industry_Specif!#REF!</definedName>
    <definedName name="DSIndHistHiddenYear3" hidden="1">[2]DS_Industry_Specif!#REF!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42184.638900463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39341.4758217593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imcount" hidden="1">3</definedName>
    <definedName name="_xlnm.Print_Area" localSheetId="1">'LSRV + DRV'!$B$4:$X$56</definedName>
    <definedName name="_xlnm.Print_Area" localSheetId="0">Overall!$B$4:$J$60</definedName>
    <definedName name="sencount" hidden="1">2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whatever" hidden="1">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2" l="1"/>
  <c r="B46" i="2" s="1"/>
  <c r="B48" i="2" s="1"/>
  <c r="B49" i="2" s="1"/>
  <c r="B50" i="2" s="1"/>
  <c r="B51" i="2" s="1"/>
  <c r="B52" i="2" s="1"/>
  <c r="B53" i="2" s="1"/>
  <c r="B54" i="2" s="1"/>
  <c r="B55" i="2" s="1"/>
  <c r="B56" i="2" s="1"/>
  <c r="B42" i="1"/>
  <c r="B45" i="1" s="1"/>
  <c r="B47" i="1" s="1"/>
  <c r="B48" i="1" s="1"/>
  <c r="B50" i="1" s="1"/>
  <c r="B52" i="1" s="1"/>
  <c r="B54" i="1" s="1"/>
  <c r="B56" i="1" s="1"/>
  <c r="B57" i="1" s="1"/>
  <c r="B59" i="1" s="1"/>
  <c r="W38" i="2" l="1"/>
  <c r="U38" i="2"/>
  <c r="S38" i="2"/>
  <c r="Q38" i="2"/>
  <c r="O38" i="2"/>
  <c r="M38" i="2"/>
  <c r="K38" i="2"/>
  <c r="I38" i="2"/>
  <c r="W36" i="2"/>
  <c r="U36" i="2"/>
  <c r="S36" i="2"/>
  <c r="Q36" i="2"/>
  <c r="O36" i="2"/>
  <c r="M36" i="2"/>
  <c r="K36" i="2"/>
  <c r="I36" i="2"/>
  <c r="W35" i="2"/>
  <c r="U35" i="2"/>
  <c r="T35" i="2"/>
  <c r="S35" i="2"/>
  <c r="Q35" i="2"/>
  <c r="P35" i="2"/>
  <c r="O35" i="2"/>
  <c r="M35" i="2"/>
  <c r="L35" i="2"/>
  <c r="K35" i="2"/>
  <c r="I35" i="2"/>
  <c r="W34" i="2"/>
  <c r="U34" i="2"/>
  <c r="T34" i="2"/>
  <c r="S34" i="2"/>
  <c r="Q34" i="2"/>
  <c r="P34" i="2"/>
  <c r="O34" i="2"/>
  <c r="M34" i="2"/>
  <c r="L34" i="2"/>
  <c r="K34" i="2"/>
  <c r="I34" i="2"/>
  <c r="W31" i="2"/>
  <c r="U31" i="2"/>
  <c r="S31" i="2"/>
  <c r="Q31" i="2"/>
  <c r="O31" i="2"/>
  <c r="M31" i="2"/>
  <c r="K31" i="2"/>
  <c r="I31" i="2"/>
  <c r="H31" i="2"/>
  <c r="J37" i="1"/>
  <c r="V30" i="2"/>
  <c r="V31" i="2" s="1"/>
  <c r="R30" i="2"/>
  <c r="R31" i="2" s="1"/>
  <c r="R32" i="2" s="1"/>
  <c r="R36" i="2" s="1"/>
  <c r="N30" i="2"/>
  <c r="N31" i="2" s="1"/>
  <c r="J30" i="2"/>
  <c r="J31" i="2" s="1"/>
  <c r="J32" i="2" s="1"/>
  <c r="J36" i="2" s="1"/>
  <c r="H30" i="2"/>
  <c r="X30" i="2"/>
  <c r="X31" i="2" s="1"/>
  <c r="P30" i="2"/>
  <c r="P31" i="2" s="1"/>
  <c r="X26" i="2"/>
  <c r="R26" i="2"/>
  <c r="P26" i="2"/>
  <c r="J26" i="2"/>
  <c r="H26" i="2"/>
  <c r="T26" i="2"/>
  <c r="L26" i="2"/>
  <c r="V26" i="2"/>
  <c r="N26" i="2"/>
  <c r="T30" i="2"/>
  <c r="T31" i="2" s="1"/>
  <c r="L30" i="2"/>
  <c r="L31" i="2" s="1"/>
  <c r="H18" i="2"/>
  <c r="H20" i="2" s="1"/>
  <c r="H22" i="2" s="1"/>
  <c r="X16" i="2"/>
  <c r="X18" i="2" s="1"/>
  <c r="X20" i="2" s="1"/>
  <c r="X22" i="2" s="1"/>
  <c r="X35" i="2" s="1"/>
  <c r="R16" i="2"/>
  <c r="R18" i="2" s="1"/>
  <c r="R20" i="2" s="1"/>
  <c r="R22" i="2" s="1"/>
  <c r="P16" i="2"/>
  <c r="P18" i="2" s="1"/>
  <c r="P20" i="2" s="1"/>
  <c r="P22" i="2" s="1"/>
  <c r="J16" i="2"/>
  <c r="J18" i="2" s="1"/>
  <c r="J20" i="2" s="1"/>
  <c r="J22" i="2" s="1"/>
  <c r="V16" i="2"/>
  <c r="V18" i="2" s="1"/>
  <c r="V20" i="2" s="1"/>
  <c r="V22" i="2" s="1"/>
  <c r="V35" i="2" s="1"/>
  <c r="N16" i="2"/>
  <c r="N18" i="2" s="1"/>
  <c r="N20" i="2" s="1"/>
  <c r="N22" i="2" s="1"/>
  <c r="N35" i="2" s="1"/>
  <c r="T16" i="2"/>
  <c r="T18" i="2" s="1"/>
  <c r="T20" i="2" s="1"/>
  <c r="T22" i="2" s="1"/>
  <c r="L16" i="2"/>
  <c r="L18" i="2" s="1"/>
  <c r="L20" i="2" s="1"/>
  <c r="L22" i="2" s="1"/>
  <c r="B14" i="2"/>
  <c r="B15" i="2" s="1"/>
  <c r="B16" i="2" s="1"/>
  <c r="J27" i="1"/>
  <c r="J28" i="1" s="1"/>
  <c r="H27" i="1"/>
  <c r="H28" i="1" s="1"/>
  <c r="H29" i="1" s="1"/>
  <c r="H33" i="1" s="1"/>
  <c r="H23" i="1"/>
  <c r="J23" i="1"/>
  <c r="H15" i="1"/>
  <c r="H17" i="1" s="1"/>
  <c r="H19" i="1" s="1"/>
  <c r="H32" i="1" s="1"/>
  <c r="J13" i="1"/>
  <c r="J15" i="1" s="1"/>
  <c r="J17" i="1" s="1"/>
  <c r="J19" i="1" s="1"/>
  <c r="B12" i="1"/>
  <c r="B13" i="1" s="1"/>
  <c r="B11" i="1"/>
  <c r="J31" i="1" l="1"/>
  <c r="J32" i="1"/>
  <c r="H31" i="1"/>
  <c r="J29" i="1"/>
  <c r="J33" i="1" s="1"/>
  <c r="R35" i="2"/>
  <c r="R34" i="2"/>
  <c r="J35" i="2"/>
  <c r="J34" i="2"/>
  <c r="H35" i="2"/>
  <c r="H34" i="2"/>
  <c r="X34" i="2"/>
  <c r="N34" i="2"/>
  <c r="V34" i="2"/>
  <c r="B14" i="1"/>
  <c r="B15" i="1" s="1"/>
  <c r="H34" i="1"/>
  <c r="H35" i="1" s="1"/>
  <c r="H24" i="1"/>
  <c r="B17" i="2"/>
  <c r="B18" i="2" s="1"/>
  <c r="L27" i="2"/>
  <c r="T27" i="2"/>
  <c r="J27" i="2"/>
  <c r="X27" i="2"/>
  <c r="R27" i="2"/>
  <c r="P32" i="2"/>
  <c r="P36" i="2" s="1"/>
  <c r="X32" i="2"/>
  <c r="X36" i="2" s="1"/>
  <c r="J24" i="1"/>
  <c r="N27" i="2"/>
  <c r="V27" i="2"/>
  <c r="P27" i="2"/>
  <c r="L32" i="2"/>
  <c r="L36" i="2" s="1"/>
  <c r="T32" i="2"/>
  <c r="T36" i="2" s="1"/>
  <c r="H27" i="2"/>
  <c r="F16" i="2"/>
  <c r="F13" i="1"/>
  <c r="N32" i="2"/>
  <c r="N36" i="2" s="1"/>
  <c r="V32" i="2"/>
  <c r="V36" i="2" s="1"/>
  <c r="H32" i="2"/>
  <c r="H36" i="2" s="1"/>
  <c r="J37" i="2" l="1"/>
  <c r="J38" i="2" s="1"/>
  <c r="P37" i="2"/>
  <c r="P38" i="2" s="1"/>
  <c r="P39" i="2" s="1"/>
  <c r="P41" i="2" s="1"/>
  <c r="H37" i="2"/>
  <c r="T37" i="2"/>
  <c r="N37" i="2"/>
  <c r="J39" i="2"/>
  <c r="J41" i="2" s="1"/>
  <c r="B19" i="2"/>
  <c r="V37" i="2"/>
  <c r="J34" i="1"/>
  <c r="R37" i="2"/>
  <c r="F18" i="2"/>
  <c r="F17" i="1"/>
  <c r="B16" i="1"/>
  <c r="X37" i="2"/>
  <c r="L37" i="2"/>
  <c r="H36" i="1"/>
  <c r="H38" i="1" s="1"/>
  <c r="F15" i="1"/>
  <c r="J35" i="1" l="1"/>
  <c r="J36" i="1" s="1"/>
  <c r="J38" i="1" s="1"/>
  <c r="L38" i="2"/>
  <c r="L39" i="2" s="1"/>
  <c r="L41" i="2" s="1"/>
  <c r="T38" i="2"/>
  <c r="T39" i="2" s="1"/>
  <c r="T41" i="2" s="1"/>
  <c r="X38" i="2"/>
  <c r="X39" i="2" s="1"/>
  <c r="X41" i="2" s="1"/>
  <c r="R38" i="2"/>
  <c r="R39" i="2" s="1"/>
  <c r="R41" i="2" s="1"/>
  <c r="H38" i="2"/>
  <c r="H39" i="2" s="1"/>
  <c r="H41" i="2" s="1"/>
  <c r="N38" i="2"/>
  <c r="N39" i="2" s="1"/>
  <c r="N41" i="2" s="1"/>
  <c r="V38" i="2"/>
  <c r="V39" i="2" s="1"/>
  <c r="V41" i="2" s="1"/>
  <c r="B20" i="2"/>
  <c r="B17" i="1"/>
  <c r="F20" i="2"/>
  <c r="B21" i="2" l="1"/>
  <c r="B22" i="2" s="1"/>
  <c r="F22" i="2"/>
  <c r="B18" i="1"/>
  <c r="B19" i="1" s="1"/>
  <c r="F31" i="1" l="1"/>
  <c r="F32" i="1"/>
  <c r="F35" i="2"/>
  <c r="F34" i="2"/>
  <c r="B21" i="1"/>
  <c r="F19" i="1"/>
  <c r="B24" i="2"/>
  <c r="B22" i="1" l="1"/>
  <c r="B23" i="1" s="1"/>
  <c r="B25" i="2"/>
  <c r="B26" i="2" s="1"/>
  <c r="F26" i="2"/>
  <c r="B27" i="2" l="1"/>
  <c r="F27" i="2"/>
  <c r="B24" i="1"/>
  <c r="F24" i="1"/>
  <c r="F23" i="1"/>
  <c r="B26" i="1" l="1"/>
  <c r="B29" i="2"/>
  <c r="B30" i="2" l="1"/>
  <c r="F31" i="2" s="1"/>
  <c r="F30" i="2"/>
  <c r="B27" i="1"/>
  <c r="F28" i="1" s="1"/>
  <c r="F27" i="1"/>
  <c r="B28" i="1" l="1"/>
  <c r="B29" i="1" s="1"/>
  <c r="F33" i="1" s="1"/>
  <c r="F29" i="1"/>
  <c r="B31" i="2"/>
  <c r="B32" i="2" s="1"/>
  <c r="F36" i="2" s="1"/>
  <c r="F32" i="2" l="1"/>
  <c r="B34" i="2"/>
  <c r="B31" i="1"/>
  <c r="B32" i="1" l="1"/>
  <c r="B33" i="1" s="1"/>
  <c r="B34" i="1" s="1"/>
  <c r="F35" i="1" s="1"/>
  <c r="B35" i="2"/>
  <c r="B36" i="2" s="1"/>
  <c r="B37" i="2" s="1"/>
  <c r="F38" i="2" s="1"/>
  <c r="B38" i="2" l="1"/>
  <c r="F37" i="2"/>
  <c r="B35" i="1"/>
  <c r="F34" i="1"/>
  <c r="B39" i="2" l="1"/>
  <c r="F39" i="2"/>
  <c r="B36" i="1"/>
  <c r="F36" i="1"/>
  <c r="B37" i="1" l="1"/>
  <c r="B38" i="1" s="1"/>
  <c r="B40" i="2"/>
  <c r="B41" i="2" s="1"/>
  <c r="F41" i="2" l="1"/>
  <c r="F38" i="1"/>
</calcChain>
</file>

<file path=xl/sharedStrings.xml><?xml version="1.0" encoding="utf-8"?>
<sst xmlns="http://schemas.openxmlformats.org/spreadsheetml/2006/main" count="124" uniqueCount="99">
  <si>
    <t>ROCHESTER GAS &amp; ELECTRIC CORPORATION</t>
  </si>
  <si>
    <t>DERIVATION OF SYSTEMWIDE MARGINAL COSTS</t>
  </si>
  <si>
    <t>Upstream</t>
  </si>
  <si>
    <t>Distribution</t>
  </si>
  <si>
    <t>[A]</t>
  </si>
  <si>
    <t>[B]</t>
  </si>
  <si>
    <t>Number of projects considered</t>
  </si>
  <si>
    <r>
      <t>Typical reserve margin (%)</t>
    </r>
    <r>
      <rPr>
        <vertAlign val="superscript"/>
        <sz val="10"/>
        <rFont val="Times New Roman"/>
        <family val="1"/>
      </rPr>
      <t>1</t>
    </r>
  </si>
  <si>
    <t>Portion of the system that is growing (%)</t>
  </si>
  <si>
    <r>
      <t>General plant loading (%)</t>
    </r>
    <r>
      <rPr>
        <vertAlign val="superscript"/>
        <sz val="10"/>
        <rFont val="Times New Roman"/>
        <family val="1"/>
      </rPr>
      <t>2</t>
    </r>
  </si>
  <si>
    <r>
      <t>Annual economic carrying charge related to capital investment (%)</t>
    </r>
    <r>
      <rPr>
        <vertAlign val="superscript"/>
        <sz val="10"/>
        <rFont val="Times New Roman"/>
        <family val="1"/>
      </rPr>
      <t>3</t>
    </r>
  </si>
  <si>
    <r>
      <t>A&amp;G loading (plant-related) (%)</t>
    </r>
    <r>
      <rPr>
        <vertAlign val="superscript"/>
        <sz val="10"/>
        <rFont val="Times New Roman"/>
        <family val="1"/>
      </rPr>
      <t>4</t>
    </r>
  </si>
  <si>
    <r>
      <t>O&amp;M expenses before spreading ($/kW-year)</t>
    </r>
    <r>
      <rPr>
        <vertAlign val="superscript"/>
        <sz val="10"/>
        <rFont val="Times New Roman"/>
        <family val="1"/>
      </rPr>
      <t>5</t>
    </r>
  </si>
  <si>
    <r>
      <t>With A&amp;G loading (non-plant-related) ($/kW-year)</t>
    </r>
    <r>
      <rPr>
        <vertAlign val="superscript"/>
        <sz val="10"/>
        <rFont val="Times New Roman"/>
        <family val="1"/>
      </rPr>
      <t>6</t>
    </r>
  </si>
  <si>
    <r>
      <t>Material and supplies ($/kW-year)</t>
    </r>
    <r>
      <rPr>
        <vertAlign val="superscript"/>
        <sz val="10"/>
        <rFont val="Times New Roman"/>
        <family val="1"/>
      </rPr>
      <t>7</t>
    </r>
  </si>
  <si>
    <r>
      <t>Prepayments ($/kW-year)</t>
    </r>
    <r>
      <rPr>
        <vertAlign val="superscript"/>
        <sz val="10"/>
        <rFont val="Times New Roman"/>
        <family val="1"/>
      </rPr>
      <t>8</t>
    </r>
  </si>
  <si>
    <r>
      <t>Cash working capital allowance ($/kW-year)</t>
    </r>
    <r>
      <rPr>
        <vertAlign val="superscript"/>
        <sz val="10"/>
        <rFont val="Times New Roman"/>
        <family val="1"/>
      </rPr>
      <t>9</t>
    </r>
  </si>
  <si>
    <r>
      <t>Annual working capital charge ($/kW-year)</t>
    </r>
    <r>
      <rPr>
        <vertAlign val="superscript"/>
        <sz val="10"/>
        <rFont val="Times New Roman"/>
        <family val="1"/>
      </rPr>
      <t>10</t>
    </r>
  </si>
  <si>
    <r>
      <t>Loss factor</t>
    </r>
    <r>
      <rPr>
        <vertAlign val="superscript"/>
        <sz val="10"/>
        <rFont val="Times New Roman"/>
        <family val="1"/>
      </rPr>
      <t>11</t>
    </r>
  </si>
  <si>
    <t>Sourced from the 2015 MCOS study performed by NERA for RG&amp;E.</t>
  </si>
  <si>
    <t>Reflects the ratio of property insurance premiums to property insured.</t>
  </si>
  <si>
    <t>distribution plant.</t>
  </si>
  <si>
    <t>Per FERC approach of allowing 1/8 of O&amp;M as a cash working capital allowance.</t>
  </si>
  <si>
    <t>DERIVATION OF MARGINAL COSTS</t>
  </si>
  <si>
    <t>LOCATIONAL MARGINAL COST OF SERVICE FOR LSRV AND DRV AREAS</t>
  </si>
  <si>
    <t>Dist. DRV</t>
  </si>
  <si>
    <t>Distribution LSRV</t>
  </si>
  <si>
    <t>Manitou</t>
  </si>
  <si>
    <t>Road</t>
  </si>
  <si>
    <t>[C]</t>
  </si>
  <si>
    <t>[D]</t>
  </si>
  <si>
    <t>[E]</t>
  </si>
  <si>
    <t>[F]</t>
  </si>
  <si>
    <t>[G]</t>
  </si>
  <si>
    <t>[H]</t>
  </si>
  <si>
    <t>[I]</t>
  </si>
  <si>
    <r>
      <t>Number of projects considered</t>
    </r>
    <r>
      <rPr>
        <vertAlign val="superscript"/>
        <sz val="10"/>
        <rFont val="Times New Roman"/>
        <family val="1"/>
      </rPr>
      <t>1</t>
    </r>
  </si>
  <si>
    <r>
      <t>Typical reserve margin (%)</t>
    </r>
    <r>
      <rPr>
        <vertAlign val="superscript"/>
        <sz val="10"/>
        <rFont val="Times New Roman"/>
        <family val="1"/>
      </rPr>
      <t>2</t>
    </r>
  </si>
  <si>
    <r>
      <t>Portion of the system that is growing (%)</t>
    </r>
    <r>
      <rPr>
        <vertAlign val="superscript"/>
        <sz val="10"/>
        <rFont val="Times New Roman"/>
        <family val="1"/>
      </rPr>
      <t>3</t>
    </r>
  </si>
  <si>
    <r>
      <t>General plant loading (%)</t>
    </r>
    <r>
      <rPr>
        <vertAlign val="superscript"/>
        <sz val="10"/>
        <rFont val="Times New Roman"/>
        <family val="1"/>
      </rPr>
      <t>4</t>
    </r>
  </si>
  <si>
    <r>
      <t>Annual economic carrying charge related to capital investment (%)</t>
    </r>
    <r>
      <rPr>
        <vertAlign val="superscript"/>
        <sz val="10"/>
        <rFont val="Times New Roman"/>
        <family val="1"/>
      </rPr>
      <t>5</t>
    </r>
  </si>
  <si>
    <r>
      <t>A&amp;G loading (plant-related) (%)</t>
    </r>
    <r>
      <rPr>
        <vertAlign val="superscript"/>
        <sz val="10"/>
        <rFont val="Times New Roman"/>
        <family val="1"/>
      </rPr>
      <t>6</t>
    </r>
  </si>
  <si>
    <r>
      <t>O&amp;M expenses before spreading ($/kW-year)</t>
    </r>
    <r>
      <rPr>
        <vertAlign val="superscript"/>
        <sz val="10"/>
        <rFont val="Times New Roman"/>
        <family val="1"/>
      </rPr>
      <t>7</t>
    </r>
  </si>
  <si>
    <t>With A&amp;G loading (non-plant-related) ($/kW-year)8</t>
  </si>
  <si>
    <r>
      <t>Material and supplies ($/kW-year)</t>
    </r>
    <r>
      <rPr>
        <vertAlign val="superscript"/>
        <sz val="10"/>
        <rFont val="Times New Roman"/>
        <family val="1"/>
      </rPr>
      <t>9</t>
    </r>
  </si>
  <si>
    <r>
      <t>Prepayments ($/kW-year)</t>
    </r>
    <r>
      <rPr>
        <vertAlign val="superscript"/>
        <sz val="10"/>
        <rFont val="Times New Roman"/>
        <family val="1"/>
      </rPr>
      <t>10</t>
    </r>
  </si>
  <si>
    <r>
      <t>Cash working capital allowance ($/kW-year)</t>
    </r>
    <r>
      <rPr>
        <vertAlign val="superscript"/>
        <sz val="10"/>
        <rFont val="Times New Roman"/>
        <family val="1"/>
      </rPr>
      <t>11</t>
    </r>
  </si>
  <si>
    <r>
      <t>Annual working capital charge ($/kW-year)</t>
    </r>
    <r>
      <rPr>
        <vertAlign val="superscript"/>
        <sz val="10"/>
        <rFont val="Times New Roman"/>
        <family val="1"/>
      </rPr>
      <t>12</t>
    </r>
  </si>
  <si>
    <r>
      <t>Loss factor</t>
    </r>
    <r>
      <rPr>
        <vertAlign val="superscript"/>
        <sz val="10"/>
        <rFont val="Times New Roman"/>
        <family val="1"/>
      </rPr>
      <t>13</t>
    </r>
  </si>
  <si>
    <t>Reflects the first-year annual economic carrying charge related to incremental investments, incorporating the most recent capital structure and WACC, including changes resulting from the 2017 Tax Act.</t>
  </si>
  <si>
    <t>Relies principally on FERC Form 1 data to compare total distribution station O&amp;M expenses to upstream and distribution non-coincident peak load, adjusted by the labor and materials index.</t>
  </si>
  <si>
    <t>Relies principally on FERC Form 1 data to determine the ratio of social security and unemployment taxes to O&amp;M less fuel, purchased power and transmission by others.</t>
  </si>
  <si>
    <t>Relies principally on FERC Form 1 and PSC data to determine the ratio of materials and supplies relative to total distribution plant.</t>
  </si>
  <si>
    <t>Relies principally on FERC Form 1 data to determine the ratio of electric distribution share of prepayments relative to electric distribution plant.</t>
  </si>
  <si>
    <t>Accounts for demand losses occurring between the point at which the marginal costs are measured and the location of the distributed generation on the system.</t>
  </si>
  <si>
    <t>Marginal investment with general plant loading:</t>
  </si>
  <si>
    <t>Investment in growth projects ($)</t>
  </si>
  <si>
    <t>Investment in growth projects (kW)</t>
  </si>
  <si>
    <t>Investment in growth projects ($/kW)</t>
  </si>
  <si>
    <t>Investment in growth projects after reserve margin ($/kW)</t>
  </si>
  <si>
    <t>Marginal investment ($/kW)</t>
  </si>
  <si>
    <t>Marginal investment with general plant loading ($/kW)</t>
  </si>
  <si>
    <t>Annual cost before O&amp;M and working capital:</t>
  </si>
  <si>
    <t>Total annual carrying charge (%)</t>
  </si>
  <si>
    <t>Annual cost before O&amp;M and working capital ($/kW-year)</t>
  </si>
  <si>
    <t>Annual O&amp;M charge:</t>
  </si>
  <si>
    <t>O&amp;M expenses after spreading ($/kW-year)</t>
  </si>
  <si>
    <t>Annual O&amp;M charge ($/kW-year)</t>
  </si>
  <si>
    <t>Annual working capital charge:</t>
  </si>
  <si>
    <t>Total working capital ($/kW-year)</t>
  </si>
  <si>
    <t>Total annual cost before losses ($/kW-year)</t>
  </si>
  <si>
    <t>Total annual cost ($/kW-year)</t>
  </si>
  <si>
    <t>S127</t>
  </si>
  <si>
    <t>Station 117</t>
  </si>
  <si>
    <t>Station 156</t>
  </si>
  <si>
    <t>Station 192</t>
  </si>
  <si>
    <t>Station 46</t>
  </si>
  <si>
    <t>Station 51</t>
  </si>
  <si>
    <t>Reflects the first-year annual economic carrying charge related to incremental investments, incorporating the most</t>
  </si>
  <si>
    <t>recent capital structure and WACC, including changes resulting from the 2017 Tax Act.</t>
  </si>
  <si>
    <t>Relies principally on FERC Form 1 data to compare total distribution station O&amp;M expenses to upstream and</t>
  </si>
  <si>
    <t>distribution non-coincident peak load, adjusted by the labor and materials index.</t>
  </si>
  <si>
    <t>Relies principally on FERC Form 1 data to determine the ratio of social security and unemployment taxes to O&amp;M less</t>
  </si>
  <si>
    <t>fuel, purchased power and transmission by others.</t>
  </si>
  <si>
    <t>Relies principally on FERC Form 1 and PSC data to determine the ratio of materials and supplies relative to total</t>
  </si>
  <si>
    <t>Relies principally on FERC Form 1 data to determine the ratio of electric distribution share of prepayments relative to</t>
  </si>
  <si>
    <t>electric distribution plant.</t>
  </si>
  <si>
    <t>Multiplies the total working capital by the revenue requirement for working capital factor, as derived from the</t>
  </si>
  <si>
    <t>Accounts for demand losses occurring between the point at which the marginal costs are measured and the location of</t>
  </si>
  <si>
    <t>the distributed generation on the system.</t>
  </si>
  <si>
    <t>Footnotes:</t>
  </si>
  <si>
    <t>All LSRV areas are considered to be growing.</t>
  </si>
  <si>
    <t>Sourced from the 2015 MCOS study performed by NERA for RG&amp;E.  Based on historic cumulative additions to plant using regressions of cumulative additions to general and common plant on cumulative additions to total</t>
  </si>
  <si>
    <t>plant less common and general, functional dummy variable reflecting shifts in underlying costs.</t>
  </si>
  <si>
    <t>Multiplies the total working capital by the revenue requirement for working capital factor, as derived from the company's capital structure, cost of capital, and marginal tax rate.</t>
  </si>
  <si>
    <t>company's capital structure, cost of capital, and marginal tax rate.</t>
  </si>
  <si>
    <t xml:space="preserve">Sourced from the 2015 MCOS study performed by NERA for RG&amp;E.  Based on historic cumulative additions to plant </t>
  </si>
  <si>
    <t xml:space="preserve">using regressions of cumulative additions to general and common plant on cumulative additions to total plant less </t>
  </si>
  <si>
    <t>common and general, functional dummy variable reflecting shifts in underlying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</si>
</sst>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164" formatCode="0_);\(0\)"/>
    <numFmt numFmtId="165" formatCode="_(* #,##0.00_);_(* \(#,##0.00\);_(* &quot;-&quot;_);_(@_)"/>
    <numFmt numFmtId="166" formatCode="0.00%;\-0.00%;_(* &quot;-&quot;_);_(@_)"/>
    <numFmt numFmtId="167" formatCode="0.0%"/>
    <numFmt numFmtId="168" formatCode="0._);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0"/>
      <name val="Times New Roman"/>
      <family val="1"/>
    </font>
    <font>
      <b/>
      <sz val="13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u/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MS Sans Serif"/>
      <family val="2"/>
    </font>
    <font>
      <vertAlign val="superscript"/>
      <sz val="1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/>
  </cellStyleXfs>
  <cellXfs count="56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0" borderId="0" xfId="1" applyFont="1" applyAlignment="1"/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8" fillId="0" borderId="0" xfId="2" applyFont="1" applyAlignment="1">
      <alignment vertical="center"/>
    </xf>
    <xf numFmtId="0" fontId="9" fillId="0" borderId="1" xfId="2" applyFont="1" applyBorder="1" applyAlignment="1">
      <alignment horizontal="centerContinuous" vertical="center"/>
    </xf>
    <xf numFmtId="164" fontId="3" fillId="0" borderId="0" xfId="1" applyNumberFormat="1" applyFont="1" applyAlignment="1">
      <alignment horizontal="centerContinuous" vertical="center"/>
    </xf>
    <xf numFmtId="164" fontId="7" fillId="0" borderId="0" xfId="1" applyNumberFormat="1" applyFont="1" applyAlignment="1">
      <alignment horizontal="centerContinuous" vertical="center"/>
    </xf>
    <xf numFmtId="164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9" fontId="11" fillId="0" borderId="0" xfId="1" applyNumberFormat="1" applyFont="1" applyAlignment="1">
      <alignment horizontal="center" vertical="center"/>
    </xf>
    <xf numFmtId="0" fontId="5" fillId="0" borderId="0" xfId="3" applyNumberFormat="1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0" xfId="3" applyNumberFormat="1" applyFont="1" applyAlignment="1">
      <alignment horizontal="left" vertical="center" indent="2"/>
    </xf>
    <xf numFmtId="165" fontId="3" fillId="0" borderId="2" xfId="1" applyNumberFormat="1" applyFont="1" applyBorder="1" applyAlignment="1">
      <alignment vertical="center"/>
    </xf>
    <xf numFmtId="166" fontId="5" fillId="0" borderId="0" xfId="2" applyNumberFormat="1" applyFont="1" applyAlignment="1">
      <alignment vertical="center"/>
    </xf>
    <xf numFmtId="10" fontId="5" fillId="0" borderId="0" xfId="2" applyNumberFormat="1" applyFont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10" fontId="3" fillId="0" borderId="0" xfId="1" applyNumberFormat="1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167" fontId="5" fillId="0" borderId="0" xfId="2" applyNumberFormat="1" applyFont="1" applyAlignment="1">
      <alignment vertical="center"/>
    </xf>
    <xf numFmtId="167" fontId="5" fillId="0" borderId="0" xfId="2" applyNumberFormat="1" applyFont="1" applyFill="1" applyAlignment="1">
      <alignment vertical="center"/>
    </xf>
    <xf numFmtId="166" fontId="3" fillId="0" borderId="2" xfId="1" applyNumberFormat="1" applyFont="1" applyBorder="1" applyAlignment="1">
      <alignment vertical="center"/>
    </xf>
    <xf numFmtId="10" fontId="3" fillId="0" borderId="2" xfId="1" applyNumberFormat="1" applyFont="1" applyFill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5" fillId="0" borderId="0" xfId="3" applyNumberFormat="1" applyFont="1" applyAlignment="1">
      <alignment horizontal="left" vertical="center" indent="3"/>
    </xf>
    <xf numFmtId="165" fontId="3" fillId="0" borderId="4" xfId="1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3" applyNumberFormat="1" applyFont="1" applyAlignment="1">
      <alignment horizontal="left" vertical="center" indent="3"/>
    </xf>
    <xf numFmtId="0" fontId="7" fillId="0" borderId="0" xfId="0" applyFont="1" applyAlignment="1">
      <alignment horizontal="center" vertical="center"/>
    </xf>
    <xf numFmtId="165" fontId="7" fillId="0" borderId="5" xfId="1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7" fillId="0" borderId="0" xfId="1" applyFont="1" applyAlignment="1"/>
    <xf numFmtId="0" fontId="14" fillId="0" borderId="0" xfId="0" applyFont="1" applyAlignment="1">
      <alignment horizontal="center" vertical="center"/>
    </xf>
    <xf numFmtId="4" fontId="3" fillId="0" borderId="0" xfId="1" applyNumberFormat="1" applyFont="1" applyFill="1" applyAlignment="1">
      <alignment vertical="center"/>
    </xf>
    <xf numFmtId="0" fontId="3" fillId="0" borderId="0" xfId="1" applyFont="1" applyFill="1" applyAlignment="1"/>
    <xf numFmtId="0" fontId="3" fillId="0" borderId="0" xfId="1" applyFont="1" applyAlignment="1">
      <alignment horizontal="centerContinuous" vertical="center"/>
    </xf>
    <xf numFmtId="0" fontId="3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166" fontId="5" fillId="0" borderId="0" xfId="2" applyNumberFormat="1" applyFont="1" applyFill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3" fillId="0" borderId="0" xfId="1" quotePrefix="1" applyFont="1" applyAlignment="1">
      <alignment vertical="center"/>
    </xf>
    <xf numFmtId="168" fontId="3" fillId="0" borderId="0" xfId="1" applyNumberFormat="1" applyFont="1" applyAlignment="1">
      <alignment vertical="center"/>
    </xf>
  </cellXfs>
  <cellStyles count="4">
    <cellStyle name="Normal" xfId="0" builtinId="0"/>
    <cellStyle name="Normal 10 4 3" xfId="1"/>
    <cellStyle name="Normal 110" xfId="2"/>
    <cellStyle name="Normal 1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ill_caughey\My%20Documents\BD%20-%20Non%20Regulated%20Projects\BRADFORD%20-%20OPA%20Northern%20York%20Region%20RFP\Construction%20Aker\AkerL%20Bradford%20Proposal%2020091003\02_54%201092%20Estimate%20Rev%203%20Sub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s\E\Enbridge\2001\Presentations\Westcoast\Analysis\Maureen's%20mode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oll-up"/>
      <sheetName val="Detail"/>
      <sheetName val="Project "/>
      <sheetName val="Estimate "/>
      <sheetName val="Management "/>
      <sheetName val="Support "/>
      <sheetName val="Supplies &amp; Services "/>
      <sheetName val="Equipment "/>
      <sheetName val="Rates "/>
      <sheetName val="Wages "/>
      <sheetName val="Material "/>
      <sheetName val="Subs "/>
      <sheetName val="Supt Schedule"/>
      <sheetName val="ListMenuDlg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"/>
      <sheetName val="inserts"/>
      <sheetName val="EPSNorm"/>
      <sheetName val="Assumptions"/>
      <sheetName val="main"/>
      <sheetName val="union"/>
      <sheetName val="centra"/>
      <sheetName val="png"/>
      <sheetName val="foot"/>
      <sheetName val="wigsi"/>
      <sheetName val="MNE"/>
      <sheetName val="Alliance"/>
      <sheetName val="int'l"/>
      <sheetName val="corpfi"/>
      <sheetName val="Power"/>
      <sheetName val="Empire"/>
      <sheetName val="incent"/>
      <sheetName val="Indonesia"/>
      <sheetName val="Vector"/>
      <sheetName val="Millenium"/>
      <sheetName val="Mexico"/>
      <sheetName val="epschart"/>
      <sheetName val="NAV"/>
      <sheetName val="SegBS"/>
      <sheetName val="Sheet1"/>
      <sheetName val="Charts"/>
      <sheetName val="finstat"/>
      <sheetName val="Summary"/>
      <sheetName val="simplified"/>
      <sheetName val="DS_Key_Information"/>
      <sheetName val="DS_Valuation_Measures"/>
      <sheetName val="DS_Income_Statement"/>
      <sheetName val="DS_Cash_Flow"/>
      <sheetName val="DS_Balance_Sheet"/>
      <sheetName val="DS_Industry_Specif"/>
      <sheetName val="DS_Quarterly_Estimates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tabSelected="1" zoomScaleNormal="100" zoomScaleSheetLayoutView="85" workbookViewId="0"/>
  </sheetViews>
  <sheetFormatPr defaultColWidth="7.42578125" defaultRowHeight="12.75" x14ac:dyDescent="0.25"/>
  <cols>
    <col min="1" max="1" width="1.42578125" style="2" customWidth="1"/>
    <col min="2" max="2" width="4.7109375" style="2" customWidth="1"/>
    <col min="3" max="3" width="1.140625" style="2" customWidth="1"/>
    <col min="4" max="4" width="46.42578125" style="2" customWidth="1"/>
    <col min="5" max="5" width="1.42578125" style="2" customWidth="1"/>
    <col min="6" max="6" width="13.42578125" style="2" customWidth="1"/>
    <col min="7" max="7" width="1.42578125" style="2" customWidth="1"/>
    <col min="8" max="8" width="11.140625" style="2" customWidth="1"/>
    <col min="9" max="9" width="1.42578125" style="2" customWidth="1"/>
    <col min="10" max="10" width="11.140625" style="2" customWidth="1"/>
    <col min="11" max="16384" width="7.42578125" style="2"/>
  </cols>
  <sheetData>
    <row r="1" spans="1:31" ht="15" customHeight="1" x14ac:dyDescent="0.2">
      <c r="A1" s="1"/>
      <c r="B1" s="1"/>
      <c r="C1" s="1"/>
      <c r="K1" s="3"/>
      <c r="L1" s="3"/>
      <c r="M1" s="3"/>
      <c r="N1" s="3"/>
    </row>
    <row r="2" spans="1:31" ht="15" customHeight="1" x14ac:dyDescent="0.2">
      <c r="K2" s="3"/>
      <c r="L2" s="3"/>
      <c r="M2" s="3"/>
      <c r="N2" s="3"/>
    </row>
    <row r="3" spans="1:31" ht="15" customHeight="1" x14ac:dyDescent="0.2">
      <c r="K3" s="3"/>
      <c r="L3" s="3"/>
      <c r="M3" s="3"/>
      <c r="N3" s="3"/>
    </row>
    <row r="4" spans="1:31" s="7" customFormat="1" ht="16.5" x14ac:dyDescent="0.2">
      <c r="A4" s="4"/>
      <c r="B4" s="5" t="s">
        <v>0</v>
      </c>
      <c r="C4" s="5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7" customFormat="1" ht="16.5" x14ac:dyDescent="0.2">
      <c r="A5" s="4"/>
      <c r="B5" s="5" t="s">
        <v>1</v>
      </c>
      <c r="C5" s="5"/>
      <c r="D5" s="6"/>
      <c r="E5" s="6"/>
      <c r="F5" s="6"/>
      <c r="G5" s="6"/>
      <c r="H5" s="6"/>
      <c r="I5" s="6"/>
      <c r="J5" s="6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7" customFormat="1" ht="12.75" customHeight="1" x14ac:dyDescent="0.2">
      <c r="A6" s="4"/>
      <c r="B6" s="4"/>
      <c r="C6" s="4"/>
      <c r="D6" s="6"/>
      <c r="E6" s="6"/>
      <c r="F6" s="6"/>
      <c r="G6" s="6"/>
      <c r="H6" s="6"/>
      <c r="J6" s="6"/>
      <c r="K6" s="3"/>
      <c r="L6" s="3"/>
      <c r="M6" s="3"/>
      <c r="N6" s="3"/>
    </row>
    <row r="7" spans="1:31" s="4" customFormat="1" ht="15" customHeight="1" x14ac:dyDescent="0.2">
      <c r="D7" s="6"/>
      <c r="E7" s="6"/>
      <c r="F7" s="6"/>
      <c r="G7" s="6"/>
      <c r="H7" s="8" t="s">
        <v>2</v>
      </c>
      <c r="I7" s="7"/>
      <c r="J7" s="8" t="s">
        <v>3</v>
      </c>
      <c r="K7" s="3"/>
      <c r="L7" s="3"/>
      <c r="M7" s="3"/>
      <c r="N7" s="3"/>
    </row>
    <row r="8" spans="1:31" s="4" customFormat="1" ht="15" customHeight="1" x14ac:dyDescent="0.2">
      <c r="A8" s="2"/>
      <c r="B8" s="2"/>
      <c r="C8" s="2"/>
      <c r="E8" s="2"/>
      <c r="F8" s="9"/>
      <c r="G8" s="2"/>
      <c r="H8" s="10" t="s">
        <v>4</v>
      </c>
      <c r="I8" s="7"/>
      <c r="J8" s="10" t="s">
        <v>5</v>
      </c>
      <c r="K8" s="3"/>
      <c r="L8" s="3"/>
      <c r="M8" s="3"/>
      <c r="N8" s="3"/>
    </row>
    <row r="9" spans="1:31" s="4" customFormat="1" ht="15" customHeight="1" x14ac:dyDescent="0.2">
      <c r="A9" s="2"/>
      <c r="B9" s="11">
        <v>-1</v>
      </c>
      <c r="C9" s="2"/>
      <c r="D9" s="4" t="s">
        <v>6</v>
      </c>
      <c r="E9" s="2"/>
      <c r="F9" s="2"/>
      <c r="G9" s="2"/>
      <c r="H9" s="12">
        <v>0</v>
      </c>
      <c r="I9" s="7"/>
      <c r="J9" s="12">
        <v>9</v>
      </c>
      <c r="K9" s="3"/>
      <c r="L9" s="3"/>
      <c r="M9" s="3"/>
      <c r="N9" s="3"/>
    </row>
    <row r="10" spans="1:31" s="4" customFormat="1" ht="15" customHeight="1" x14ac:dyDescent="0.25">
      <c r="A10" s="2"/>
      <c r="B10" s="2"/>
      <c r="C10" s="13"/>
      <c r="D10" s="13" t="s">
        <v>55</v>
      </c>
      <c r="E10" s="2"/>
      <c r="F10" s="14"/>
      <c r="G10" s="2"/>
      <c r="H10" s="14"/>
      <c r="I10" s="2"/>
      <c r="J10" s="15"/>
      <c r="K10" s="2"/>
    </row>
    <row r="11" spans="1:31" s="4" customFormat="1" ht="15" customHeight="1" x14ac:dyDescent="0.25">
      <c r="A11" s="2"/>
      <c r="B11" s="11">
        <f>B9-1</f>
        <v>-2</v>
      </c>
      <c r="C11" s="2"/>
      <c r="D11" s="16" t="s">
        <v>56</v>
      </c>
      <c r="E11" s="2"/>
      <c r="F11" s="17"/>
      <c r="G11" s="2"/>
      <c r="H11" s="12">
        <v>0</v>
      </c>
      <c r="I11" s="2"/>
      <c r="J11" s="12">
        <v>103974188.01469345</v>
      </c>
      <c r="K11" s="2"/>
    </row>
    <row r="12" spans="1:31" s="4" customFormat="1" ht="15" customHeight="1" x14ac:dyDescent="0.25">
      <c r="A12" s="2"/>
      <c r="B12" s="11">
        <f t="shared" ref="B12:B19" si="0">B11-1</f>
        <v>-3</v>
      </c>
      <c r="C12" s="2"/>
      <c r="D12" s="16" t="s">
        <v>57</v>
      </c>
      <c r="E12" s="2"/>
      <c r="F12" s="17"/>
      <c r="G12" s="2"/>
      <c r="H12" s="12">
        <v>0</v>
      </c>
      <c r="I12" s="2"/>
      <c r="J12" s="12">
        <v>361500</v>
      </c>
      <c r="K12" s="2"/>
    </row>
    <row r="13" spans="1:31" s="4" customFormat="1" ht="15" customHeight="1" x14ac:dyDescent="0.25">
      <c r="A13" s="2"/>
      <c r="B13" s="11">
        <f t="shared" si="0"/>
        <v>-4</v>
      </c>
      <c r="C13" s="2"/>
      <c r="D13" s="18" t="s">
        <v>58</v>
      </c>
      <c r="E13" s="2"/>
      <c r="F13" s="17" t="str">
        <f>"("&amp;-$B11&amp;")/("&amp;-$B12&amp;")"</f>
        <v>(2)/(3)</v>
      </c>
      <c r="H13" s="19">
        <v>0</v>
      </c>
      <c r="J13" s="19">
        <f>J11/J12</f>
        <v>287.61877735738159</v>
      </c>
    </row>
    <row r="14" spans="1:31" s="4" customFormat="1" ht="15" customHeight="1" x14ac:dyDescent="0.25">
      <c r="A14" s="2"/>
      <c r="B14" s="11">
        <f t="shared" si="0"/>
        <v>-5</v>
      </c>
      <c r="C14" s="2"/>
      <c r="D14" s="16" t="s">
        <v>7</v>
      </c>
      <c r="E14" s="2"/>
      <c r="F14" s="17"/>
      <c r="H14" s="20">
        <v>0</v>
      </c>
      <c r="J14" s="21">
        <v>0.3</v>
      </c>
    </row>
    <row r="15" spans="1:31" s="4" customFormat="1" ht="15" customHeight="1" x14ac:dyDescent="0.25">
      <c r="A15" s="2"/>
      <c r="B15" s="11">
        <f t="shared" si="0"/>
        <v>-6</v>
      </c>
      <c r="C15" s="2"/>
      <c r="D15" s="18" t="s">
        <v>59</v>
      </c>
      <c r="E15" s="2"/>
      <c r="F15" s="17" t="str">
        <f>"("&amp;-$B13&amp;")*[1+("&amp;-$B14&amp;")]"</f>
        <v>(4)*[1+(5)]</v>
      </c>
      <c r="H15" s="19">
        <f>H13*(1+H14)</f>
        <v>0</v>
      </c>
      <c r="J15" s="22">
        <f>J13*(1+J14)</f>
        <v>373.90441056459611</v>
      </c>
    </row>
    <row r="16" spans="1:31" s="4" customFormat="1" ht="15" customHeight="1" x14ac:dyDescent="0.25">
      <c r="A16" s="2"/>
      <c r="B16" s="11">
        <f t="shared" si="0"/>
        <v>-7</v>
      </c>
      <c r="C16" s="2"/>
      <c r="D16" s="16" t="s">
        <v>8</v>
      </c>
      <c r="E16" s="2"/>
      <c r="F16" s="17"/>
      <c r="H16" s="20">
        <v>0</v>
      </c>
      <c r="J16" s="23">
        <v>0.36</v>
      </c>
    </row>
    <row r="17" spans="1:10" s="4" customFormat="1" ht="15" customHeight="1" x14ac:dyDescent="0.25">
      <c r="A17" s="2"/>
      <c r="B17" s="11">
        <f t="shared" si="0"/>
        <v>-8</v>
      </c>
      <c r="C17" s="2"/>
      <c r="D17" s="18" t="s">
        <v>60</v>
      </c>
      <c r="E17" s="2"/>
      <c r="F17" s="17" t="str">
        <f>"("&amp;-$B15&amp;")*("&amp;-$B16&amp;")"</f>
        <v>(6)*(7)</v>
      </c>
      <c r="H17" s="19">
        <f>H15*H16</f>
        <v>0</v>
      </c>
      <c r="J17" s="22">
        <f>J15*J16</f>
        <v>134.60558780325459</v>
      </c>
    </row>
    <row r="18" spans="1:10" s="4" customFormat="1" ht="15" customHeight="1" x14ac:dyDescent="0.25">
      <c r="A18" s="2"/>
      <c r="B18" s="11">
        <f t="shared" si="0"/>
        <v>-9</v>
      </c>
      <c r="C18" s="2"/>
      <c r="D18" s="16" t="s">
        <v>9</v>
      </c>
      <c r="E18" s="2"/>
      <c r="F18" s="17"/>
      <c r="H18" s="20">
        <v>0</v>
      </c>
      <c r="J18" s="24">
        <v>0.33400000000000002</v>
      </c>
    </row>
    <row r="19" spans="1:10" s="4" customFormat="1" ht="15" customHeight="1" x14ac:dyDescent="0.25">
      <c r="A19" s="2"/>
      <c r="B19" s="11">
        <f t="shared" si="0"/>
        <v>-10</v>
      </c>
      <c r="C19" s="2"/>
      <c r="D19" s="18" t="s">
        <v>61</v>
      </c>
      <c r="E19" s="2"/>
      <c r="F19" s="17" t="str">
        <f>"("&amp;-$B17&amp;")*[1+("&amp;-$B18&amp;")]"</f>
        <v>(8)*[1+(9)]</v>
      </c>
      <c r="H19" s="19">
        <f>H17*(1+H18)</f>
        <v>0</v>
      </c>
      <c r="J19" s="22">
        <f>J17*(1+J18)</f>
        <v>179.56385412954162</v>
      </c>
    </row>
    <row r="20" spans="1:10" s="4" customFormat="1" ht="15" customHeight="1" x14ac:dyDescent="0.25">
      <c r="A20" s="2"/>
      <c r="B20" s="11"/>
      <c r="C20" s="2"/>
      <c r="D20" s="13" t="s">
        <v>62</v>
      </c>
      <c r="E20" s="2"/>
      <c r="F20" s="17"/>
      <c r="H20" s="25"/>
      <c r="J20" s="26"/>
    </row>
    <row r="21" spans="1:10" s="4" customFormat="1" ht="15" customHeight="1" x14ac:dyDescent="0.25">
      <c r="A21" s="2"/>
      <c r="B21" s="11">
        <f>B19-1</f>
        <v>-11</v>
      </c>
      <c r="C21" s="2"/>
      <c r="D21" s="16" t="s">
        <v>10</v>
      </c>
      <c r="E21" s="2"/>
      <c r="F21" s="17"/>
      <c r="H21" s="20">
        <v>0</v>
      </c>
      <c r="J21" s="24">
        <v>0.1034626407203437</v>
      </c>
    </row>
    <row r="22" spans="1:10" s="4" customFormat="1" ht="15" customHeight="1" x14ac:dyDescent="0.25">
      <c r="A22" s="2"/>
      <c r="B22" s="11">
        <f t="shared" ref="B22:B38" si="1">B21-1</f>
        <v>-12</v>
      </c>
      <c r="C22" s="2"/>
      <c r="D22" s="16" t="s">
        <v>11</v>
      </c>
      <c r="E22" s="2"/>
      <c r="F22" s="17"/>
      <c r="H22" s="20">
        <v>0</v>
      </c>
      <c r="J22" s="24">
        <v>3.6840000000000006E-4</v>
      </c>
    </row>
    <row r="23" spans="1:10" s="4" customFormat="1" ht="15" customHeight="1" x14ac:dyDescent="0.25">
      <c r="A23" s="2"/>
      <c r="B23" s="11">
        <f t="shared" si="1"/>
        <v>-13</v>
      </c>
      <c r="C23" s="2"/>
      <c r="D23" s="18" t="s">
        <v>63</v>
      </c>
      <c r="E23" s="2"/>
      <c r="F23" s="17" t="str">
        <f>"("&amp;-$B21&amp;")+("&amp;-$B22&amp;")"</f>
        <v>(11)+(12)</v>
      </c>
      <c r="H23" s="27">
        <f>H21+H22</f>
        <v>0</v>
      </c>
      <c r="J23" s="28">
        <f>J21+J22</f>
        <v>0.1038310407203437</v>
      </c>
    </row>
    <row r="24" spans="1:10" s="4" customFormat="1" ht="15" customHeight="1" thickBot="1" x14ac:dyDescent="0.3">
      <c r="A24" s="2"/>
      <c r="B24" s="11">
        <f t="shared" si="1"/>
        <v>-14</v>
      </c>
      <c r="C24" s="2"/>
      <c r="D24" s="18" t="s">
        <v>64</v>
      </c>
      <c r="E24" s="2"/>
      <c r="F24" s="17" t="str">
        <f>"("&amp;-$B19&amp;")*("&amp;-$B23&amp;")"</f>
        <v>(10)*(13)</v>
      </c>
      <c r="H24" s="29">
        <f>H19*H23</f>
        <v>0</v>
      </c>
      <c r="J24" s="30">
        <f>J19*J23</f>
        <v>18.644301850026292</v>
      </c>
    </row>
    <row r="25" spans="1:10" s="4" customFormat="1" ht="15" customHeight="1" x14ac:dyDescent="0.25">
      <c r="A25" s="2"/>
      <c r="B25" s="11"/>
      <c r="C25" s="2"/>
      <c r="D25" s="13" t="s">
        <v>65</v>
      </c>
      <c r="E25" s="2"/>
      <c r="F25" s="17"/>
      <c r="H25" s="25"/>
      <c r="J25" s="26"/>
    </row>
    <row r="26" spans="1:10" s="4" customFormat="1" ht="15" customHeight="1" x14ac:dyDescent="0.25">
      <c r="A26" s="2"/>
      <c r="B26" s="11">
        <f>B24-1</f>
        <v>-15</v>
      </c>
      <c r="C26" s="2"/>
      <c r="D26" s="16" t="s">
        <v>12</v>
      </c>
      <c r="E26" s="2"/>
      <c r="F26" s="17"/>
      <c r="H26" s="31">
        <v>0</v>
      </c>
      <c r="J26" s="32">
        <v>1.8572056830638193</v>
      </c>
    </row>
    <row r="27" spans="1:10" s="4" customFormat="1" ht="15" customHeight="1" x14ac:dyDescent="0.25">
      <c r="A27" s="2"/>
      <c r="B27" s="11">
        <f>B26-1</f>
        <v>-16</v>
      </c>
      <c r="C27" s="2"/>
      <c r="D27" s="16" t="s">
        <v>66</v>
      </c>
      <c r="E27" s="2"/>
      <c r="F27" s="33" t="str">
        <f>"("&amp;-$B16&amp;")*("&amp;-$B26&amp;")"</f>
        <v>(7)*(15)</v>
      </c>
      <c r="H27" s="19">
        <f>H16*H26</f>
        <v>0</v>
      </c>
      <c r="J27" s="19">
        <f>J16*J26</f>
        <v>0.66859404590297489</v>
      </c>
    </row>
    <row r="28" spans="1:10" s="4" customFormat="1" ht="15" customHeight="1" x14ac:dyDescent="0.25">
      <c r="A28" s="2"/>
      <c r="B28" s="11">
        <f>B27-1</f>
        <v>-17</v>
      </c>
      <c r="C28" s="2"/>
      <c r="D28" s="16" t="s">
        <v>13</v>
      </c>
      <c r="E28" s="2"/>
      <c r="F28" s="33" t="str">
        <f>"("&amp;-$B27&amp;")*"&amp;TEXT(0.018871478144599,"0.00%")</f>
        <v>(16)*1.89%</v>
      </c>
      <c r="H28" s="31">
        <f>H27*0.018871478144599</f>
        <v>0</v>
      </c>
      <c r="J28" s="32">
        <f>J27*0.018871478144599</f>
        <v>1.2617357924867012E-2</v>
      </c>
    </row>
    <row r="29" spans="1:10" s="4" customFormat="1" ht="15" customHeight="1" thickBot="1" x14ac:dyDescent="0.3">
      <c r="A29" s="2"/>
      <c r="B29" s="11">
        <f t="shared" si="1"/>
        <v>-18</v>
      </c>
      <c r="C29" s="2"/>
      <c r="D29" s="18" t="s">
        <v>67</v>
      </c>
      <c r="E29" s="2"/>
      <c r="F29" s="17" t="str">
        <f>"("&amp;-$B27&amp;")+("&amp;-$B28&amp;")"</f>
        <v>(16)+(17)</v>
      </c>
      <c r="H29" s="29">
        <f>H27+H28</f>
        <v>0</v>
      </c>
      <c r="J29" s="29">
        <f>J27+J28</f>
        <v>0.68121140382784184</v>
      </c>
    </row>
    <row r="30" spans="1:10" s="4" customFormat="1" ht="15" customHeight="1" x14ac:dyDescent="0.25">
      <c r="A30" s="2"/>
      <c r="B30" s="11"/>
      <c r="C30" s="2"/>
      <c r="D30" s="13" t="s">
        <v>68</v>
      </c>
      <c r="E30" s="2"/>
      <c r="F30" s="17"/>
      <c r="H30" s="14"/>
      <c r="J30" s="14"/>
    </row>
    <row r="31" spans="1:10" s="4" customFormat="1" ht="15" customHeight="1" x14ac:dyDescent="0.25">
      <c r="A31" s="2"/>
      <c r="B31" s="11">
        <f>B29-1</f>
        <v>-19</v>
      </c>
      <c r="C31" s="2"/>
      <c r="D31" s="16" t="s">
        <v>14</v>
      </c>
      <c r="E31" s="2"/>
      <c r="F31" s="17" t="str">
        <f>"("&amp;-$B$19&amp;")*"&amp;TEXT(0.00248213814542909,"0.00%")</f>
        <v>(10)*0.25%</v>
      </c>
      <c r="H31" s="31">
        <f>H$19*0.00248213814542909</f>
        <v>0</v>
      </c>
      <c r="J31" s="31">
        <f>J$19*0.00248213814542909</f>
        <v>0.44570229187520005</v>
      </c>
    </row>
    <row r="32" spans="1:10" s="4" customFormat="1" ht="15" customHeight="1" x14ac:dyDescent="0.25">
      <c r="A32" s="2"/>
      <c r="B32" s="11">
        <f t="shared" si="1"/>
        <v>-20</v>
      </c>
      <c r="C32" s="2"/>
      <c r="D32" s="16" t="s">
        <v>15</v>
      </c>
      <c r="E32" s="2"/>
      <c r="F32" s="17" t="str">
        <f>"("&amp;-$B$19&amp;")*"&amp;TEXT(0.0119555338558597,"0.00%")</f>
        <v>(10)*1.20%</v>
      </c>
      <c r="H32" s="31">
        <f>H$19*0.0119555338558597</f>
        <v>0</v>
      </c>
      <c r="J32" s="31">
        <f>J$19*0.0119555338558597</f>
        <v>2.1467817373343876</v>
      </c>
    </row>
    <row r="33" spans="1:31" s="4" customFormat="1" ht="15" customHeight="1" x14ac:dyDescent="0.25">
      <c r="A33" s="2"/>
      <c r="B33" s="11">
        <f t="shared" si="1"/>
        <v>-21</v>
      </c>
      <c r="C33" s="2"/>
      <c r="D33" s="16" t="s">
        <v>16</v>
      </c>
      <c r="E33" s="2"/>
      <c r="F33" s="17" t="str">
        <f>"("&amp;-$B$29&amp;")*"&amp;TEXT(0.125,"0.00%")</f>
        <v>(18)*12.50%</v>
      </c>
      <c r="H33" s="31">
        <f>H$29*0.125</f>
        <v>0</v>
      </c>
      <c r="J33" s="31">
        <f>J$29*0.125</f>
        <v>8.515142547848023E-2</v>
      </c>
    </row>
    <row r="34" spans="1:31" s="4" customFormat="1" ht="15" customHeight="1" x14ac:dyDescent="0.25">
      <c r="A34" s="2"/>
      <c r="B34" s="11">
        <f t="shared" si="1"/>
        <v>-22</v>
      </c>
      <c r="C34" s="2"/>
      <c r="D34" s="18" t="s">
        <v>69</v>
      </c>
      <c r="E34" s="2"/>
      <c r="F34" s="17" t="str">
        <f>"("&amp;-$B31&amp;")+("&amp;-$B32&amp;")+("&amp;-$B33&amp;")"</f>
        <v>(19)+(20)+(21)</v>
      </c>
      <c r="H34" s="19">
        <f>H31+H32+H33</f>
        <v>0</v>
      </c>
      <c r="J34" s="19">
        <f>J31+J32+J33</f>
        <v>2.6776354546880676</v>
      </c>
    </row>
    <row r="35" spans="1:31" s="4" customFormat="1" ht="15" customHeight="1" thickBot="1" x14ac:dyDescent="0.3">
      <c r="A35" s="2"/>
      <c r="B35" s="11">
        <f t="shared" si="1"/>
        <v>-23</v>
      </c>
      <c r="C35" s="2"/>
      <c r="D35" s="18" t="s">
        <v>17</v>
      </c>
      <c r="E35" s="2"/>
      <c r="F35" s="17" t="str">
        <f>"("&amp;-$B$34&amp;")*"&amp;TEXT(0.0900532910551969,"0.00%")</f>
        <v>(22)*9.01%</v>
      </c>
      <c r="H35" s="29">
        <f>H34*0.0900532910551969</f>
        <v>0</v>
      </c>
      <c r="J35" s="29">
        <f>J34*0.0900532910551969</f>
        <v>0.24112988494073903</v>
      </c>
    </row>
    <row r="36" spans="1:31" s="4" customFormat="1" ht="15" customHeight="1" x14ac:dyDescent="0.25">
      <c r="A36" s="2"/>
      <c r="B36" s="11">
        <f t="shared" si="1"/>
        <v>-24</v>
      </c>
      <c r="C36" s="2"/>
      <c r="D36" s="34" t="s">
        <v>70</v>
      </c>
      <c r="E36" s="2"/>
      <c r="F36" s="17" t="str">
        <f>"("&amp;-$B24&amp;")+("&amp;-$B29&amp;")+("&amp;-$B35&amp;")"</f>
        <v>(14)+(18)+(23)</v>
      </c>
      <c r="G36" s="2"/>
      <c r="H36" s="35">
        <f>H24+H29+H35</f>
        <v>0</v>
      </c>
      <c r="I36" s="36"/>
      <c r="J36" s="35">
        <f>J24+J29+J35</f>
        <v>19.566643138794873</v>
      </c>
    </row>
    <row r="37" spans="1:31" s="4" customFormat="1" ht="15" customHeight="1" x14ac:dyDescent="0.25">
      <c r="A37" s="2"/>
      <c r="B37" s="11">
        <f t="shared" si="1"/>
        <v>-25</v>
      </c>
      <c r="C37" s="2"/>
      <c r="D37" s="34" t="s">
        <v>18</v>
      </c>
      <c r="E37" s="2"/>
      <c r="F37" s="17"/>
      <c r="G37" s="2"/>
      <c r="H37" s="31">
        <v>0</v>
      </c>
      <c r="J37" s="31">
        <f>1.05553636279</f>
        <v>1.0555363627900001</v>
      </c>
    </row>
    <row r="38" spans="1:31" s="4" customFormat="1" ht="15" customHeight="1" thickBot="1" x14ac:dyDescent="0.3">
      <c r="A38" s="2"/>
      <c r="B38" s="37">
        <f t="shared" si="1"/>
        <v>-26</v>
      </c>
      <c r="C38" s="38"/>
      <c r="D38" s="39" t="s">
        <v>71</v>
      </c>
      <c r="E38" s="38"/>
      <c r="F38" s="40" t="str">
        <f>"("&amp;-$B36&amp;")*("&amp;-$B37&amp;")"</f>
        <v>(24)*(25)</v>
      </c>
      <c r="G38" s="38"/>
      <c r="H38" s="41">
        <f>H36*H37</f>
        <v>0</v>
      </c>
      <c r="I38" s="42"/>
      <c r="J38" s="41">
        <f>J36*J37</f>
        <v>20.653303330733451</v>
      </c>
    </row>
    <row r="39" spans="1:31" s="4" customFormat="1" ht="12.75" customHeight="1" thickTop="1" x14ac:dyDescent="0.25">
      <c r="A39" s="2"/>
      <c r="B39" s="37"/>
      <c r="C39" s="38"/>
      <c r="D39" s="39"/>
      <c r="E39" s="38"/>
    </row>
    <row r="40" spans="1:31" s="4" customFormat="1" ht="15" x14ac:dyDescent="0.2">
      <c r="B40" s="45" t="s">
        <v>90</v>
      </c>
      <c r="D40" s="3"/>
      <c r="E40" s="2"/>
      <c r="F40" s="46"/>
      <c r="G40" s="3"/>
      <c r="H40" s="31"/>
      <c r="J40" s="47"/>
      <c r="K40" s="3"/>
    </row>
    <row r="41" spans="1:31" s="7" customFormat="1" ht="12.75" customHeight="1" x14ac:dyDescent="0.2">
      <c r="A41" s="2"/>
      <c r="B41" s="55">
        <v>1</v>
      </c>
      <c r="C41" s="2"/>
      <c r="D41" s="2" t="s">
        <v>19</v>
      </c>
      <c r="E41" s="2"/>
      <c r="F41" s="14"/>
      <c r="G41" s="2"/>
      <c r="H41" s="48"/>
      <c r="I41" s="48"/>
      <c r="J41" s="4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2.75" customHeight="1" x14ac:dyDescent="0.2">
      <c r="B42" s="55">
        <f>B41+1</f>
        <v>2</v>
      </c>
      <c r="D42" s="2" t="s">
        <v>96</v>
      </c>
      <c r="F42" s="14"/>
      <c r="H42" s="48"/>
      <c r="I42" s="48"/>
      <c r="J42" s="44"/>
    </row>
    <row r="43" spans="1:31" ht="12.75" customHeight="1" x14ac:dyDescent="0.25">
      <c r="D43" s="2" t="s">
        <v>97</v>
      </c>
      <c r="F43" s="14"/>
    </row>
    <row r="44" spans="1:31" ht="12.75" customHeight="1" x14ac:dyDescent="0.25">
      <c r="D44" s="2" t="s">
        <v>98</v>
      </c>
      <c r="F44" s="14"/>
    </row>
    <row r="45" spans="1:31" ht="12.75" customHeight="1" x14ac:dyDescent="0.25">
      <c r="B45" s="55">
        <f>B42+1</f>
        <v>3</v>
      </c>
      <c r="D45" s="2" t="s">
        <v>78</v>
      </c>
      <c r="F45" s="14"/>
    </row>
    <row r="46" spans="1:31" ht="12.75" customHeight="1" x14ac:dyDescent="0.25">
      <c r="B46" s="11"/>
      <c r="D46" s="2" t="s">
        <v>79</v>
      </c>
      <c r="F46" s="14"/>
    </row>
    <row r="47" spans="1:31" ht="12.75" customHeight="1" x14ac:dyDescent="0.25">
      <c r="B47" s="55">
        <f>B45+1</f>
        <v>4</v>
      </c>
      <c r="D47" s="2" t="s">
        <v>20</v>
      </c>
      <c r="F47" s="14"/>
    </row>
    <row r="48" spans="1:31" ht="12.75" customHeight="1" x14ac:dyDescent="0.25">
      <c r="B48" s="55">
        <f>B47+1</f>
        <v>5</v>
      </c>
      <c r="D48" s="2" t="s">
        <v>80</v>
      </c>
      <c r="F48" s="14"/>
    </row>
    <row r="49" spans="2:6" ht="12.75" customHeight="1" x14ac:dyDescent="0.25">
      <c r="B49" s="11"/>
      <c r="D49" s="2" t="s">
        <v>81</v>
      </c>
      <c r="F49" s="14"/>
    </row>
    <row r="50" spans="2:6" ht="12.75" customHeight="1" x14ac:dyDescent="0.25">
      <c r="B50" s="55">
        <f>B48+1</f>
        <v>6</v>
      </c>
      <c r="D50" s="2" t="s">
        <v>82</v>
      </c>
      <c r="F50" s="14"/>
    </row>
    <row r="51" spans="2:6" ht="12.75" customHeight="1" x14ac:dyDescent="0.25">
      <c r="B51" s="11"/>
      <c r="D51" s="2" t="s">
        <v>83</v>
      </c>
      <c r="F51" s="14"/>
    </row>
    <row r="52" spans="2:6" ht="12.75" customHeight="1" x14ac:dyDescent="0.25">
      <c r="B52" s="55">
        <f>B50+1</f>
        <v>7</v>
      </c>
      <c r="D52" s="2" t="s">
        <v>84</v>
      </c>
      <c r="F52" s="14"/>
    </row>
    <row r="53" spans="2:6" ht="12.75" customHeight="1" x14ac:dyDescent="0.25">
      <c r="B53" s="11"/>
      <c r="D53" s="2" t="s">
        <v>21</v>
      </c>
      <c r="F53" s="14"/>
    </row>
    <row r="54" spans="2:6" ht="12.75" customHeight="1" x14ac:dyDescent="0.25">
      <c r="B54" s="55">
        <f>B52+1</f>
        <v>8</v>
      </c>
      <c r="D54" s="2" t="s">
        <v>85</v>
      </c>
      <c r="F54" s="14"/>
    </row>
    <row r="55" spans="2:6" ht="12.75" customHeight="1" x14ac:dyDescent="0.25">
      <c r="B55" s="11"/>
      <c r="D55" s="2" t="s">
        <v>86</v>
      </c>
      <c r="F55" s="14"/>
    </row>
    <row r="56" spans="2:6" x14ac:dyDescent="0.25">
      <c r="B56" s="55">
        <f>B54+1</f>
        <v>9</v>
      </c>
      <c r="D56" s="2" t="s">
        <v>22</v>
      </c>
    </row>
    <row r="57" spans="2:6" x14ac:dyDescent="0.25">
      <c r="B57" s="55">
        <f>B56+1</f>
        <v>10</v>
      </c>
      <c r="D57" s="2" t="s">
        <v>87</v>
      </c>
      <c r="F57" s="14"/>
    </row>
    <row r="58" spans="2:6" x14ac:dyDescent="0.25">
      <c r="B58" s="11"/>
      <c r="D58" s="2" t="s">
        <v>95</v>
      </c>
      <c r="F58" s="14"/>
    </row>
    <row r="59" spans="2:6" x14ac:dyDescent="0.25">
      <c r="B59" s="55">
        <f>B57+1</f>
        <v>11</v>
      </c>
      <c r="D59" s="2" t="s">
        <v>88</v>
      </c>
      <c r="F59" s="14"/>
    </row>
    <row r="60" spans="2:6" x14ac:dyDescent="0.25">
      <c r="D60" s="2" t="s">
        <v>89</v>
      </c>
      <c r="F60" s="14"/>
    </row>
    <row r="61" spans="2:6" x14ac:dyDescent="0.25">
      <c r="F61" s="14"/>
    </row>
    <row r="62" spans="2:6" x14ac:dyDescent="0.25">
      <c r="F62" s="14"/>
    </row>
  </sheetData>
  <printOptions horizontalCentered="1"/>
  <pageMargins left="0.7" right="0.7" top="0.75" bottom="0.75" header="0.3" footer="0.3"/>
  <pageSetup scale="87" orientation="portrait" r:id="rId1"/>
  <headerFooter>
    <oddHeader>&amp;R&amp;"Times New Roman,Regular"NERA Exhibit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zoomScaleNormal="100" zoomScaleSheetLayoutView="85" workbookViewId="0"/>
  </sheetViews>
  <sheetFormatPr defaultColWidth="7.42578125" defaultRowHeight="12.75" x14ac:dyDescent="0.25"/>
  <cols>
    <col min="1" max="1" width="1.42578125" style="2" customWidth="1"/>
    <col min="2" max="2" width="4.7109375" style="2" customWidth="1"/>
    <col min="3" max="3" width="1.140625" style="2" customWidth="1"/>
    <col min="4" max="4" width="46.42578125" style="2" customWidth="1"/>
    <col min="5" max="5" width="1.42578125" style="2" customWidth="1"/>
    <col min="6" max="6" width="13.42578125" style="2" customWidth="1"/>
    <col min="7" max="7" width="1.42578125" style="2" customWidth="1"/>
    <col min="8" max="8" width="10.28515625" style="2" customWidth="1"/>
    <col min="9" max="9" width="1.42578125" style="2" customWidth="1"/>
    <col min="10" max="10" width="10.28515625" style="2" customWidth="1"/>
    <col min="11" max="11" width="1.42578125" style="2" customWidth="1"/>
    <col min="12" max="12" width="10.28515625" style="2" customWidth="1"/>
    <col min="13" max="13" width="1.42578125" style="2" customWidth="1"/>
    <col min="14" max="14" width="10.28515625" style="2" customWidth="1"/>
    <col min="15" max="15" width="1.42578125" style="2" customWidth="1"/>
    <col min="16" max="16" width="10.28515625" style="2" customWidth="1"/>
    <col min="17" max="17" width="1.42578125" style="2" customWidth="1"/>
    <col min="18" max="18" width="10.28515625" style="2" customWidth="1"/>
    <col min="19" max="19" width="1.42578125" style="2" customWidth="1"/>
    <col min="20" max="20" width="10.28515625" style="2" customWidth="1"/>
    <col min="21" max="21" width="1.42578125" style="2" customWidth="1"/>
    <col min="22" max="22" width="10.28515625" style="2" customWidth="1"/>
    <col min="23" max="23" width="1.42578125" style="2" customWidth="1"/>
    <col min="24" max="24" width="10.28515625" style="2" customWidth="1"/>
    <col min="25" max="16384" width="7.42578125" style="2"/>
  </cols>
  <sheetData>
    <row r="1" spans="1:45" ht="15" customHeight="1" x14ac:dyDescent="0.2">
      <c r="A1" s="1"/>
      <c r="B1" s="1"/>
      <c r="C1" s="1"/>
      <c r="Y1" s="3"/>
      <c r="Z1" s="3"/>
      <c r="AA1" s="3"/>
      <c r="AB1" s="3"/>
    </row>
    <row r="2" spans="1:45" ht="15" customHeight="1" x14ac:dyDescent="0.2">
      <c r="Y2" s="3"/>
      <c r="Z2" s="3"/>
      <c r="AA2" s="3"/>
      <c r="AB2" s="3"/>
    </row>
    <row r="3" spans="1:45" ht="15" customHeight="1" x14ac:dyDescent="0.2">
      <c r="Y3" s="3"/>
      <c r="Z3" s="3"/>
      <c r="AA3" s="3"/>
      <c r="AB3" s="3"/>
    </row>
    <row r="4" spans="1:45" s="7" customFormat="1" ht="16.5" x14ac:dyDescent="0.2">
      <c r="A4" s="4"/>
      <c r="B4" s="5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s="7" customFormat="1" ht="16.5" x14ac:dyDescent="0.2">
      <c r="A5" s="4"/>
      <c r="B5" s="5" t="s">
        <v>23</v>
      </c>
      <c r="C5" s="5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3"/>
      <c r="Z5" s="3"/>
      <c r="AA5" s="3"/>
      <c r="AB5" s="3"/>
    </row>
    <row r="6" spans="1:45" s="7" customFormat="1" ht="16.5" x14ac:dyDescent="0.2">
      <c r="A6" s="4"/>
      <c r="B6" s="5" t="s">
        <v>24</v>
      </c>
      <c r="C6" s="5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3"/>
      <c r="Z6" s="3"/>
      <c r="AA6" s="3"/>
      <c r="AB6" s="3"/>
    </row>
    <row r="7" spans="1:45" s="7" customFormat="1" ht="12.75" customHeight="1" x14ac:dyDescent="0.2">
      <c r="A7" s="4"/>
      <c r="B7" s="4"/>
      <c r="C7" s="4"/>
      <c r="D7" s="6"/>
      <c r="E7" s="6"/>
      <c r="F7" s="6"/>
      <c r="G7" s="6"/>
      <c r="H7" s="6"/>
      <c r="J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3"/>
      <c r="Z7" s="3"/>
      <c r="AA7" s="3"/>
      <c r="AB7" s="3"/>
    </row>
    <row r="8" spans="1:45" s="4" customFormat="1" ht="15" customHeight="1" x14ac:dyDescent="0.2">
      <c r="D8" s="6"/>
      <c r="E8" s="6"/>
      <c r="F8" s="6"/>
      <c r="G8" s="6"/>
      <c r="H8" s="8" t="s">
        <v>2</v>
      </c>
      <c r="I8" s="7"/>
      <c r="J8" s="8" t="s">
        <v>25</v>
      </c>
      <c r="K8" s="7"/>
      <c r="L8" s="8" t="s">
        <v>26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3"/>
      <c r="Z8" s="3"/>
      <c r="AA8" s="3"/>
      <c r="AB8" s="3"/>
    </row>
    <row r="9" spans="1:45" s="4" customFormat="1" ht="15" customHeight="1" x14ac:dyDescent="0.2">
      <c r="A9" s="2"/>
      <c r="B9" s="2"/>
      <c r="C9" s="2"/>
      <c r="E9" s="2"/>
      <c r="F9" s="6"/>
      <c r="G9" s="50"/>
      <c r="H9" s="51"/>
      <c r="I9" s="7"/>
      <c r="J9" s="51"/>
      <c r="K9" s="7"/>
      <c r="L9" s="51" t="s">
        <v>27</v>
      </c>
      <c r="M9" s="2"/>
      <c r="N9" s="51"/>
      <c r="O9" s="50"/>
      <c r="P9" s="51"/>
      <c r="Q9" s="50"/>
      <c r="R9" s="51"/>
      <c r="S9" s="50"/>
      <c r="T9" s="51"/>
      <c r="U9" s="2"/>
      <c r="V9" s="51"/>
      <c r="W9" s="50"/>
      <c r="X9" s="51"/>
      <c r="Y9" s="3"/>
      <c r="Z9" s="3"/>
      <c r="AA9" s="3"/>
      <c r="AB9" s="3"/>
    </row>
    <row r="10" spans="1:45" s="4" customFormat="1" ht="15" customHeight="1" x14ac:dyDescent="0.2">
      <c r="A10" s="2"/>
      <c r="B10" s="2"/>
      <c r="C10" s="2"/>
      <c r="E10" s="2"/>
      <c r="F10" s="6"/>
      <c r="G10" s="50"/>
      <c r="H10" s="51"/>
      <c r="I10" s="7"/>
      <c r="J10" s="51"/>
      <c r="K10" s="7"/>
      <c r="L10" s="51" t="s">
        <v>28</v>
      </c>
      <c r="M10" s="2"/>
      <c r="N10" s="51" t="s">
        <v>72</v>
      </c>
      <c r="O10" s="50"/>
      <c r="P10" s="51" t="s">
        <v>73</v>
      </c>
      <c r="Q10" s="50"/>
      <c r="R10" s="51" t="s">
        <v>74</v>
      </c>
      <c r="S10" s="50"/>
      <c r="T10" s="51" t="s">
        <v>75</v>
      </c>
      <c r="U10" s="2"/>
      <c r="V10" s="51" t="s">
        <v>76</v>
      </c>
      <c r="W10" s="50"/>
      <c r="X10" s="51" t="s">
        <v>77</v>
      </c>
      <c r="Y10" s="3"/>
      <c r="Z10" s="3"/>
      <c r="AA10" s="3"/>
      <c r="AB10" s="3"/>
    </row>
    <row r="11" spans="1:45" s="4" customFormat="1" ht="15" customHeight="1" x14ac:dyDescent="0.2">
      <c r="A11" s="2"/>
      <c r="B11" s="2"/>
      <c r="C11" s="2"/>
      <c r="E11" s="2"/>
      <c r="F11" s="9"/>
      <c r="G11" s="2"/>
      <c r="H11" s="10" t="s">
        <v>4</v>
      </c>
      <c r="I11" s="7"/>
      <c r="J11" s="10" t="s">
        <v>5</v>
      </c>
      <c r="K11" s="7"/>
      <c r="L11" s="10" t="s">
        <v>29</v>
      </c>
      <c r="M11" s="2"/>
      <c r="N11" s="10" t="s">
        <v>30</v>
      </c>
      <c r="O11" s="2"/>
      <c r="P11" s="10" t="s">
        <v>31</v>
      </c>
      <c r="Q11" s="2"/>
      <c r="R11" s="10" t="s">
        <v>32</v>
      </c>
      <c r="S11" s="2"/>
      <c r="T11" s="10" t="s">
        <v>33</v>
      </c>
      <c r="U11" s="2"/>
      <c r="V11" s="10" t="s">
        <v>34</v>
      </c>
      <c r="W11" s="2"/>
      <c r="X11" s="10" t="s">
        <v>35</v>
      </c>
      <c r="Y11" s="3"/>
      <c r="Z11" s="3"/>
      <c r="AA11" s="3"/>
      <c r="AB11" s="3"/>
    </row>
    <row r="12" spans="1:45" s="4" customFormat="1" ht="15" customHeight="1" x14ac:dyDescent="0.2">
      <c r="A12" s="2"/>
      <c r="B12" s="11">
        <v>-1</v>
      </c>
      <c r="C12" s="2"/>
      <c r="D12" s="4" t="s">
        <v>36</v>
      </c>
      <c r="E12" s="2"/>
      <c r="F12" s="2"/>
      <c r="G12" s="2"/>
      <c r="H12" s="12">
        <v>0</v>
      </c>
      <c r="I12" s="7"/>
      <c r="J12" s="12">
        <v>2</v>
      </c>
      <c r="K12" s="7"/>
      <c r="L12" s="12">
        <v>1</v>
      </c>
      <c r="M12" s="2"/>
      <c r="N12" s="12">
        <v>1</v>
      </c>
      <c r="O12" s="2"/>
      <c r="P12" s="12">
        <v>1</v>
      </c>
      <c r="Q12" s="2"/>
      <c r="R12" s="12">
        <v>1</v>
      </c>
      <c r="S12" s="2"/>
      <c r="T12" s="12">
        <v>1</v>
      </c>
      <c r="U12" s="2"/>
      <c r="V12" s="12">
        <v>1</v>
      </c>
      <c r="W12" s="2"/>
      <c r="X12" s="12">
        <v>1</v>
      </c>
      <c r="Y12" s="3"/>
      <c r="Z12" s="3"/>
      <c r="AA12" s="3"/>
      <c r="AB12" s="3"/>
    </row>
    <row r="13" spans="1:45" s="4" customFormat="1" ht="15" customHeight="1" x14ac:dyDescent="0.25">
      <c r="A13" s="2"/>
      <c r="B13" s="2"/>
      <c r="C13" s="13"/>
      <c r="D13" s="13" t="s">
        <v>55</v>
      </c>
      <c r="E13" s="2"/>
      <c r="F13" s="14"/>
      <c r="G13" s="2"/>
      <c r="H13" s="14"/>
      <c r="I13" s="2"/>
      <c r="J13" s="15"/>
      <c r="K13" s="2"/>
      <c r="L13" s="14"/>
      <c r="M13" s="2"/>
      <c r="N13" s="15"/>
      <c r="O13" s="2"/>
      <c r="P13" s="15"/>
      <c r="Q13" s="2"/>
      <c r="R13" s="15"/>
      <c r="S13" s="2"/>
      <c r="T13" s="14"/>
      <c r="U13" s="2"/>
      <c r="V13" s="15"/>
      <c r="W13" s="2"/>
      <c r="X13" s="15"/>
      <c r="Y13" s="2"/>
    </row>
    <row r="14" spans="1:45" s="4" customFormat="1" ht="15" customHeight="1" x14ac:dyDescent="0.25">
      <c r="A14" s="2"/>
      <c r="B14" s="11">
        <f>B12-1</f>
        <v>-2</v>
      </c>
      <c r="C14" s="2"/>
      <c r="D14" s="16" t="s">
        <v>56</v>
      </c>
      <c r="E14" s="2"/>
      <c r="F14" s="17"/>
      <c r="G14" s="2"/>
      <c r="H14" s="12">
        <v>0</v>
      </c>
      <c r="I14" s="2"/>
      <c r="J14" s="12">
        <v>18784662.948205303</v>
      </c>
      <c r="K14" s="2"/>
      <c r="L14" s="12">
        <v>9171748.2037789468</v>
      </c>
      <c r="M14" s="2"/>
      <c r="N14" s="12">
        <v>8595298.5653868057</v>
      </c>
      <c r="O14" s="2"/>
      <c r="P14" s="12">
        <v>16120421.999289237</v>
      </c>
      <c r="Q14" s="2"/>
      <c r="R14" s="12">
        <v>14695421.999289237</v>
      </c>
      <c r="S14" s="2"/>
      <c r="T14" s="12">
        <v>8610196.4942732081</v>
      </c>
      <c r="U14" s="2"/>
      <c r="V14" s="12">
        <v>12797622.36618216</v>
      </c>
      <c r="W14" s="2"/>
      <c r="X14" s="12">
        <v>15198815.438288562</v>
      </c>
      <c r="Y14" s="2"/>
    </row>
    <row r="15" spans="1:45" s="4" customFormat="1" ht="15" customHeight="1" x14ac:dyDescent="0.25">
      <c r="A15" s="2"/>
      <c r="B15" s="11">
        <f t="shared" ref="B15:B22" si="0">B14-1</f>
        <v>-3</v>
      </c>
      <c r="C15" s="2"/>
      <c r="D15" s="16" t="s">
        <v>57</v>
      </c>
      <c r="E15" s="2"/>
      <c r="F15" s="17"/>
      <c r="G15" s="2"/>
      <c r="H15" s="12">
        <v>0</v>
      </c>
      <c r="I15" s="2"/>
      <c r="J15" s="12">
        <v>131000</v>
      </c>
      <c r="K15" s="2"/>
      <c r="L15" s="12">
        <v>56000</v>
      </c>
      <c r="M15" s="2"/>
      <c r="N15" s="12">
        <v>22400</v>
      </c>
      <c r="O15" s="2"/>
      <c r="P15" s="12">
        <v>37300</v>
      </c>
      <c r="Q15" s="2"/>
      <c r="R15" s="12">
        <v>28000</v>
      </c>
      <c r="S15" s="2"/>
      <c r="T15" s="12">
        <v>14000</v>
      </c>
      <c r="U15" s="2"/>
      <c r="V15" s="12">
        <v>44800</v>
      </c>
      <c r="W15" s="2"/>
      <c r="X15" s="12">
        <v>28000</v>
      </c>
      <c r="Y15" s="2"/>
    </row>
    <row r="16" spans="1:45" s="4" customFormat="1" ht="15" customHeight="1" x14ac:dyDescent="0.25">
      <c r="A16" s="2"/>
      <c r="B16" s="11">
        <f t="shared" si="0"/>
        <v>-4</v>
      </c>
      <c r="C16" s="2"/>
      <c r="D16" s="18" t="s">
        <v>58</v>
      </c>
      <c r="E16" s="2"/>
      <c r="F16" s="17" t="str">
        <f>"("&amp;-$B14&amp;")/("&amp;-$B15&amp;")"</f>
        <v>(2)/(3)</v>
      </c>
      <c r="H16" s="19">
        <v>0</v>
      </c>
      <c r="J16" s="19">
        <f>J14/J15</f>
        <v>143.39437365042215</v>
      </c>
      <c r="L16" s="19">
        <f>L14/L15</f>
        <v>163.78121792462406</v>
      </c>
      <c r="N16" s="19">
        <f>N14/N15</f>
        <v>383.71868595476809</v>
      </c>
      <c r="P16" s="19">
        <f>P14/P15</f>
        <v>432.18289542330393</v>
      </c>
      <c r="R16" s="19">
        <f>R14/R15</f>
        <v>524.83649997461555</v>
      </c>
      <c r="T16" s="19">
        <f>T14/T15</f>
        <v>615.01403530522919</v>
      </c>
      <c r="V16" s="19">
        <f>V14/V15</f>
        <v>285.6612135308518</v>
      </c>
      <c r="X16" s="19">
        <f>X14/X15</f>
        <v>542.81483708173437</v>
      </c>
    </row>
    <row r="17" spans="1:24" s="4" customFormat="1" ht="15" customHeight="1" x14ac:dyDescent="0.25">
      <c r="A17" s="2"/>
      <c r="B17" s="11">
        <f t="shared" si="0"/>
        <v>-5</v>
      </c>
      <c r="C17" s="2"/>
      <c r="D17" s="16" t="s">
        <v>37</v>
      </c>
      <c r="E17" s="2"/>
      <c r="F17" s="17"/>
      <c r="H17" s="20">
        <v>0</v>
      </c>
      <c r="J17" s="20">
        <v>0.3</v>
      </c>
      <c r="L17" s="20">
        <v>0.3</v>
      </c>
      <c r="N17" s="20">
        <v>0.3</v>
      </c>
      <c r="P17" s="20">
        <v>0.3</v>
      </c>
      <c r="R17" s="20">
        <v>0.3</v>
      </c>
      <c r="T17" s="20">
        <v>0.3</v>
      </c>
      <c r="V17" s="20">
        <v>0.3</v>
      </c>
      <c r="X17" s="20">
        <v>0.3</v>
      </c>
    </row>
    <row r="18" spans="1:24" s="4" customFormat="1" ht="15" customHeight="1" x14ac:dyDescent="0.25">
      <c r="A18" s="2"/>
      <c r="B18" s="11">
        <f t="shared" si="0"/>
        <v>-6</v>
      </c>
      <c r="C18" s="2"/>
      <c r="D18" s="18" t="s">
        <v>59</v>
      </c>
      <c r="E18" s="2"/>
      <c r="F18" s="17" t="str">
        <f>"("&amp;-$B16&amp;")*[1+("&amp;-$B17&amp;")]"</f>
        <v>(4)*[1+(5)]</v>
      </c>
      <c r="H18" s="19">
        <f>H16*(1+H17)</f>
        <v>0</v>
      </c>
      <c r="J18" s="22">
        <f>J16*(1+J17)</f>
        <v>186.4126857455488</v>
      </c>
      <c r="L18" s="19">
        <f>L16*(1+L17)</f>
        <v>212.91558330201127</v>
      </c>
      <c r="N18" s="19">
        <f>N16*(1+N17)</f>
        <v>498.83429174119851</v>
      </c>
      <c r="P18" s="19">
        <f>P16*(1+P17)</f>
        <v>561.83776405029516</v>
      </c>
      <c r="R18" s="19">
        <f>R16*(1+R17)</f>
        <v>682.28744996700027</v>
      </c>
      <c r="T18" s="19">
        <f>T16*(1+T17)</f>
        <v>799.51824589679802</v>
      </c>
      <c r="V18" s="19">
        <f>V16*(1+V17)</f>
        <v>371.35957759010734</v>
      </c>
      <c r="X18" s="19">
        <f>X16*(1+X17)</f>
        <v>705.6592882062547</v>
      </c>
    </row>
    <row r="19" spans="1:24" s="4" customFormat="1" ht="15" customHeight="1" x14ac:dyDescent="0.25">
      <c r="A19" s="2"/>
      <c r="B19" s="11">
        <f t="shared" si="0"/>
        <v>-7</v>
      </c>
      <c r="C19" s="2"/>
      <c r="D19" s="16" t="s">
        <v>38</v>
      </c>
      <c r="E19" s="2"/>
      <c r="F19" s="17"/>
      <c r="H19" s="20">
        <v>0</v>
      </c>
      <c r="J19" s="20">
        <v>0.16932356742783283</v>
      </c>
      <c r="L19" s="20">
        <v>1</v>
      </c>
      <c r="N19" s="20">
        <v>1</v>
      </c>
      <c r="P19" s="20">
        <v>1</v>
      </c>
      <c r="R19" s="20">
        <v>1</v>
      </c>
      <c r="T19" s="20">
        <v>1</v>
      </c>
      <c r="V19" s="20">
        <v>1</v>
      </c>
      <c r="X19" s="20">
        <v>1</v>
      </c>
    </row>
    <row r="20" spans="1:24" s="4" customFormat="1" ht="15" customHeight="1" x14ac:dyDescent="0.25">
      <c r="A20" s="2"/>
      <c r="B20" s="11">
        <f t="shared" si="0"/>
        <v>-8</v>
      </c>
      <c r="C20" s="2"/>
      <c r="D20" s="18" t="s">
        <v>60</v>
      </c>
      <c r="E20" s="2"/>
      <c r="F20" s="17" t="str">
        <f>"("&amp;-$B18&amp;")*("&amp;-$B19&amp;")"</f>
        <v>(6)*(7)</v>
      </c>
      <c r="H20" s="19">
        <f>H18*H19</f>
        <v>0</v>
      </c>
      <c r="J20" s="22">
        <f>J18*J19</f>
        <v>31.564060964239843</v>
      </c>
      <c r="L20" s="19">
        <f>L18*L19</f>
        <v>212.91558330201127</v>
      </c>
      <c r="N20" s="19">
        <f>N18*N19</f>
        <v>498.83429174119851</v>
      </c>
      <c r="P20" s="19">
        <f>P18*P19</f>
        <v>561.83776405029516</v>
      </c>
      <c r="R20" s="19">
        <f>R18*R19</f>
        <v>682.28744996700027</v>
      </c>
      <c r="T20" s="19">
        <f>T18*T19</f>
        <v>799.51824589679802</v>
      </c>
      <c r="V20" s="19">
        <f>V18*V19</f>
        <v>371.35957759010734</v>
      </c>
      <c r="X20" s="19">
        <f>X18*X19</f>
        <v>705.6592882062547</v>
      </c>
    </row>
    <row r="21" spans="1:24" s="4" customFormat="1" ht="15" customHeight="1" x14ac:dyDescent="0.25">
      <c r="A21" s="2"/>
      <c r="B21" s="11">
        <f t="shared" si="0"/>
        <v>-9</v>
      </c>
      <c r="C21" s="2"/>
      <c r="D21" s="16" t="s">
        <v>39</v>
      </c>
      <c r="E21" s="2"/>
      <c r="F21" s="17"/>
      <c r="H21" s="20">
        <v>0</v>
      </c>
      <c r="J21" s="20">
        <v>0.33400000000000002</v>
      </c>
      <c r="L21" s="20">
        <v>0.33400000000000002</v>
      </c>
      <c r="N21" s="20">
        <v>0.33400000000000002</v>
      </c>
      <c r="P21" s="20">
        <v>0.33400000000000002</v>
      </c>
      <c r="R21" s="20">
        <v>0.33400000000000002</v>
      </c>
      <c r="T21" s="20">
        <v>0.33400000000000002</v>
      </c>
      <c r="V21" s="20">
        <v>0.33400000000000002</v>
      </c>
      <c r="X21" s="20">
        <v>0.33400000000000002</v>
      </c>
    </row>
    <row r="22" spans="1:24" s="4" customFormat="1" ht="15" customHeight="1" x14ac:dyDescent="0.25">
      <c r="A22" s="2"/>
      <c r="B22" s="11">
        <f t="shared" si="0"/>
        <v>-10</v>
      </c>
      <c r="C22" s="2"/>
      <c r="D22" s="18" t="s">
        <v>61</v>
      </c>
      <c r="E22" s="2"/>
      <c r="F22" s="17" t="str">
        <f>"("&amp;-$B20&amp;")*[1+("&amp;-$B21&amp;")]"</f>
        <v>(8)*[1+(9)]</v>
      </c>
      <c r="H22" s="19">
        <f>H20*(1+H21)</f>
        <v>0</v>
      </c>
      <c r="J22" s="22">
        <f>J20*(1+J21)</f>
        <v>42.106457326295953</v>
      </c>
      <c r="L22" s="19">
        <f>L20*(1+L21)</f>
        <v>284.02938812488304</v>
      </c>
      <c r="N22" s="19">
        <f>N20*(1+N21)</f>
        <v>665.44494518275883</v>
      </c>
      <c r="P22" s="19">
        <f>P20*(1+P21)</f>
        <v>749.49157724309384</v>
      </c>
      <c r="R22" s="19">
        <f>R20*(1+R21)</f>
        <v>910.17145825597845</v>
      </c>
      <c r="T22" s="19">
        <f>T20*(1+T21)</f>
        <v>1066.5573400263286</v>
      </c>
      <c r="V22" s="19">
        <f>V20*(1+V21)</f>
        <v>495.39367650520319</v>
      </c>
      <c r="X22" s="19">
        <f>X20*(1+X21)</f>
        <v>941.34949046714382</v>
      </c>
    </row>
    <row r="23" spans="1:24" s="4" customFormat="1" ht="15" customHeight="1" x14ac:dyDescent="0.25">
      <c r="A23" s="2"/>
      <c r="B23" s="11"/>
      <c r="C23" s="2"/>
      <c r="D23" s="13" t="s">
        <v>62</v>
      </c>
      <c r="E23" s="2"/>
      <c r="F23" s="17"/>
      <c r="H23" s="25"/>
      <c r="J23" s="26"/>
      <c r="L23" s="25"/>
      <c r="N23" s="25"/>
      <c r="P23" s="25"/>
      <c r="R23" s="25"/>
      <c r="T23" s="25"/>
      <c r="V23" s="25"/>
      <c r="X23" s="25"/>
    </row>
    <row r="24" spans="1:24" s="4" customFormat="1" ht="15" customHeight="1" x14ac:dyDescent="0.25">
      <c r="A24" s="2"/>
      <c r="B24" s="11">
        <f>B22-1</f>
        <v>-11</v>
      </c>
      <c r="C24" s="2"/>
      <c r="D24" s="16" t="s">
        <v>40</v>
      </c>
      <c r="E24" s="2"/>
      <c r="F24" s="17"/>
      <c r="H24" s="20">
        <v>0</v>
      </c>
      <c r="J24" s="52">
        <v>0.1034626407203437</v>
      </c>
      <c r="L24" s="20">
        <v>0.1034626407203437</v>
      </c>
      <c r="N24" s="20">
        <v>0.1034626407203437</v>
      </c>
      <c r="P24" s="20">
        <v>0.1034626407203437</v>
      </c>
      <c r="R24" s="20">
        <v>0.1034626407203437</v>
      </c>
      <c r="T24" s="20">
        <v>0.1034626407203437</v>
      </c>
      <c r="V24" s="20">
        <v>0.1034626407203437</v>
      </c>
      <c r="X24" s="20">
        <v>0.1034626407203437</v>
      </c>
    </row>
    <row r="25" spans="1:24" s="4" customFormat="1" ht="15" customHeight="1" x14ac:dyDescent="0.25">
      <c r="A25" s="2"/>
      <c r="B25" s="11">
        <f t="shared" ref="B25:B41" si="1">B24-1</f>
        <v>-12</v>
      </c>
      <c r="C25" s="2"/>
      <c r="D25" s="16" t="s">
        <v>41</v>
      </c>
      <c r="E25" s="2"/>
      <c r="F25" s="17"/>
      <c r="H25" s="20">
        <v>0</v>
      </c>
      <c r="J25" s="20">
        <v>3.6840000000000006E-4</v>
      </c>
      <c r="L25" s="20">
        <v>3.6840000000000006E-4</v>
      </c>
      <c r="N25" s="20">
        <v>3.6840000000000006E-4</v>
      </c>
      <c r="P25" s="20">
        <v>3.6840000000000006E-4</v>
      </c>
      <c r="R25" s="20">
        <v>3.6840000000000006E-4</v>
      </c>
      <c r="T25" s="20">
        <v>3.6840000000000006E-4</v>
      </c>
      <c r="V25" s="20">
        <v>3.6840000000000006E-4</v>
      </c>
      <c r="X25" s="20">
        <v>3.6840000000000006E-4</v>
      </c>
    </row>
    <row r="26" spans="1:24" s="4" customFormat="1" ht="15" customHeight="1" x14ac:dyDescent="0.25">
      <c r="A26" s="2"/>
      <c r="B26" s="11">
        <f t="shared" si="1"/>
        <v>-13</v>
      </c>
      <c r="C26" s="2"/>
      <c r="D26" s="18" t="s">
        <v>63</v>
      </c>
      <c r="E26" s="2"/>
      <c r="F26" s="17" t="str">
        <f>"("&amp;-$B24&amp;")+("&amp;-$B25&amp;")"</f>
        <v>(11)+(12)</v>
      </c>
      <c r="H26" s="27">
        <f>H24+H25</f>
        <v>0</v>
      </c>
      <c r="J26" s="53">
        <f>J24+J25</f>
        <v>0.1038310407203437</v>
      </c>
      <c r="L26" s="27">
        <f>L24+L25</f>
        <v>0.1038310407203437</v>
      </c>
      <c r="N26" s="27">
        <f>N24+N25</f>
        <v>0.1038310407203437</v>
      </c>
      <c r="P26" s="27">
        <f>P24+P25</f>
        <v>0.1038310407203437</v>
      </c>
      <c r="R26" s="27">
        <f>R24+R25</f>
        <v>0.1038310407203437</v>
      </c>
      <c r="T26" s="27">
        <f>T24+T25</f>
        <v>0.1038310407203437</v>
      </c>
      <c r="V26" s="27">
        <f>V24+V25</f>
        <v>0.1038310407203437</v>
      </c>
      <c r="X26" s="27">
        <f>X24+X25</f>
        <v>0.1038310407203437</v>
      </c>
    </row>
    <row r="27" spans="1:24" s="4" customFormat="1" ht="15" customHeight="1" thickBot="1" x14ac:dyDescent="0.3">
      <c r="A27" s="2"/>
      <c r="B27" s="11">
        <f t="shared" si="1"/>
        <v>-14</v>
      </c>
      <c r="C27" s="2"/>
      <c r="D27" s="18" t="s">
        <v>64</v>
      </c>
      <c r="E27" s="2"/>
      <c r="F27" s="17" t="str">
        <f>"("&amp;-$B22&amp;")*("&amp;-$B26&amp;")"</f>
        <v>(10)*(13)</v>
      </c>
      <c r="H27" s="29">
        <f>H22*H26</f>
        <v>0</v>
      </c>
      <c r="J27" s="30">
        <f>J22*J26</f>
        <v>4.3719572852360491</v>
      </c>
      <c r="L27" s="29">
        <f>L22*L26</f>
        <v>29.491066964169036</v>
      </c>
      <c r="N27" s="29">
        <f>N22*N26</f>
        <v>69.093841200417913</v>
      </c>
      <c r="P27" s="29">
        <f>P22*P26</f>
        <v>77.820490476282302</v>
      </c>
      <c r="R27" s="29">
        <f>R22*R26</f>
        <v>94.504049744671107</v>
      </c>
      <c r="T27" s="29">
        <f>T22*T26</f>
        <v>110.74175860285519</v>
      </c>
      <c r="V27" s="29">
        <f>V22*V26</f>
        <v>51.437240997812523</v>
      </c>
      <c r="X27" s="29">
        <f>X22*X26</f>
        <v>97.741297276768805</v>
      </c>
    </row>
    <row r="28" spans="1:24" s="4" customFormat="1" ht="15" customHeight="1" x14ac:dyDescent="0.25">
      <c r="A28" s="2"/>
      <c r="B28" s="11"/>
      <c r="C28" s="2"/>
      <c r="D28" s="13" t="s">
        <v>65</v>
      </c>
      <c r="E28" s="2"/>
      <c r="F28" s="17"/>
      <c r="H28" s="25"/>
      <c r="J28" s="26"/>
      <c r="L28" s="25"/>
      <c r="N28" s="25"/>
      <c r="P28" s="25"/>
      <c r="R28" s="25"/>
      <c r="T28" s="25"/>
      <c r="V28" s="25"/>
      <c r="X28" s="25"/>
    </row>
    <row r="29" spans="1:24" s="4" customFormat="1" ht="15" customHeight="1" x14ac:dyDescent="0.25">
      <c r="A29" s="2"/>
      <c r="B29" s="11">
        <f>B27-1</f>
        <v>-15</v>
      </c>
      <c r="C29" s="2"/>
      <c r="D29" s="16" t="s">
        <v>42</v>
      </c>
      <c r="E29" s="2"/>
      <c r="F29" s="17"/>
      <c r="H29" s="31">
        <v>0</v>
      </c>
      <c r="J29" s="32">
        <v>1.8572056830638193</v>
      </c>
      <c r="L29" s="31">
        <v>1.8572056830638193</v>
      </c>
      <c r="N29" s="31">
        <v>1.8572056830638193</v>
      </c>
      <c r="P29" s="31">
        <v>1.8572056830638193</v>
      </c>
      <c r="R29" s="31">
        <v>1.8572056830638193</v>
      </c>
      <c r="T29" s="31">
        <v>1.8572056830638193</v>
      </c>
      <c r="V29" s="31">
        <v>1.8572056830638193</v>
      </c>
      <c r="X29" s="31">
        <v>1.8572056830638193</v>
      </c>
    </row>
    <row r="30" spans="1:24" s="4" customFormat="1" ht="15" customHeight="1" x14ac:dyDescent="0.25">
      <c r="A30" s="2"/>
      <c r="B30" s="11">
        <f>B29-1</f>
        <v>-16</v>
      </c>
      <c r="C30" s="2"/>
      <c r="D30" s="16" t="s">
        <v>66</v>
      </c>
      <c r="E30" s="2"/>
      <c r="F30" s="33" t="str">
        <f>"("&amp;-$B19&amp;")*("&amp;-$B29&amp;")"</f>
        <v>(7)*(15)</v>
      </c>
      <c r="H30" s="19">
        <f>H19*H29</f>
        <v>0</v>
      </c>
      <c r="J30" s="19">
        <f>J19*J29</f>
        <v>0.31446869170361091</v>
      </c>
      <c r="L30" s="19">
        <f>L19*L29</f>
        <v>1.8572056830638193</v>
      </c>
      <c r="N30" s="19">
        <f>N19*N29</f>
        <v>1.8572056830638193</v>
      </c>
      <c r="P30" s="19">
        <f>P19*P29</f>
        <v>1.8572056830638193</v>
      </c>
      <c r="R30" s="19">
        <f>R19*R29</f>
        <v>1.8572056830638193</v>
      </c>
      <c r="T30" s="19">
        <f>T19*T29</f>
        <v>1.8572056830638193</v>
      </c>
      <c r="V30" s="19">
        <f>V19*V29</f>
        <v>1.8572056830638193</v>
      </c>
      <c r="X30" s="19">
        <f>X19*X29</f>
        <v>1.8572056830638193</v>
      </c>
    </row>
    <row r="31" spans="1:24" s="4" customFormat="1" ht="15" customHeight="1" x14ac:dyDescent="0.25">
      <c r="A31" s="2"/>
      <c r="B31" s="11">
        <f>B30-1</f>
        <v>-17</v>
      </c>
      <c r="C31" s="2"/>
      <c r="D31" s="16" t="s">
        <v>43</v>
      </c>
      <c r="E31" s="2"/>
      <c r="F31" s="33" t="str">
        <f>"("&amp;-$B30&amp;")*"&amp;TEXT(0.018871478144599,"0.00%")</f>
        <v>(16)*1.89%</v>
      </c>
      <c r="H31" s="31">
        <f>H30*0.018871478144599</f>
        <v>0</v>
      </c>
      <c r="I31" s="4">
        <f t="shared" ref="I31:X31" si="2">I30*0.018871478144599</f>
        <v>0</v>
      </c>
      <c r="J31" s="32">
        <f t="shared" si="2"/>
        <v>5.9344890426453346E-3</v>
      </c>
      <c r="K31" s="4">
        <f t="shared" si="2"/>
        <v>0</v>
      </c>
      <c r="L31" s="31">
        <f t="shared" si="2"/>
        <v>3.5048216457963924E-2</v>
      </c>
      <c r="M31" s="4">
        <f t="shared" si="2"/>
        <v>0</v>
      </c>
      <c r="N31" s="31">
        <f t="shared" si="2"/>
        <v>3.5048216457963924E-2</v>
      </c>
      <c r="O31" s="4">
        <f t="shared" si="2"/>
        <v>0</v>
      </c>
      <c r="P31" s="31">
        <f t="shared" si="2"/>
        <v>3.5048216457963924E-2</v>
      </c>
      <c r="Q31" s="4">
        <f t="shared" si="2"/>
        <v>0</v>
      </c>
      <c r="R31" s="31">
        <f t="shared" si="2"/>
        <v>3.5048216457963924E-2</v>
      </c>
      <c r="S31" s="4">
        <f t="shared" si="2"/>
        <v>0</v>
      </c>
      <c r="T31" s="31">
        <f t="shared" si="2"/>
        <v>3.5048216457963924E-2</v>
      </c>
      <c r="U31" s="4">
        <f t="shared" si="2"/>
        <v>0</v>
      </c>
      <c r="V31" s="31">
        <f t="shared" si="2"/>
        <v>3.5048216457963924E-2</v>
      </c>
      <c r="W31" s="4">
        <f t="shared" si="2"/>
        <v>0</v>
      </c>
      <c r="X31" s="31">
        <f t="shared" si="2"/>
        <v>3.5048216457963924E-2</v>
      </c>
    </row>
    <row r="32" spans="1:24" s="4" customFormat="1" ht="15" customHeight="1" thickBot="1" x14ac:dyDescent="0.3">
      <c r="A32" s="2"/>
      <c r="B32" s="11">
        <f t="shared" si="1"/>
        <v>-18</v>
      </c>
      <c r="C32" s="2"/>
      <c r="D32" s="18" t="s">
        <v>67</v>
      </c>
      <c r="E32" s="2"/>
      <c r="F32" s="17" t="str">
        <f>"("&amp;-$B30&amp;")+("&amp;-$B31&amp;")"</f>
        <v>(16)+(17)</v>
      </c>
      <c r="H32" s="29">
        <f>H30+H31</f>
        <v>0</v>
      </c>
      <c r="J32" s="29">
        <f>J30+J31</f>
        <v>0.32040318074625623</v>
      </c>
      <c r="L32" s="29">
        <f>L30+L31</f>
        <v>1.8922538995217832</v>
      </c>
      <c r="N32" s="29">
        <f>N30+N31</f>
        <v>1.8922538995217832</v>
      </c>
      <c r="P32" s="29">
        <f>P30+P31</f>
        <v>1.8922538995217832</v>
      </c>
      <c r="R32" s="29">
        <f>R30+R31</f>
        <v>1.8922538995217832</v>
      </c>
      <c r="T32" s="29">
        <f>T30+T31</f>
        <v>1.8922538995217832</v>
      </c>
      <c r="V32" s="29">
        <f>V30+V31</f>
        <v>1.8922538995217832</v>
      </c>
      <c r="X32" s="29">
        <f>X30+X31</f>
        <v>1.8922538995217832</v>
      </c>
    </row>
    <row r="33" spans="1:45" s="4" customFormat="1" ht="15" customHeight="1" x14ac:dyDescent="0.25">
      <c r="A33" s="2"/>
      <c r="B33" s="11"/>
      <c r="C33" s="2"/>
      <c r="D33" s="13" t="s">
        <v>68</v>
      </c>
      <c r="E33" s="2"/>
      <c r="F33" s="17"/>
      <c r="H33" s="14"/>
      <c r="J33" s="14"/>
      <c r="L33" s="14"/>
      <c r="N33" s="14"/>
      <c r="P33" s="14"/>
      <c r="R33" s="14"/>
      <c r="T33" s="14"/>
      <c r="V33" s="14"/>
      <c r="X33" s="14"/>
    </row>
    <row r="34" spans="1:45" s="4" customFormat="1" ht="15" customHeight="1" x14ac:dyDescent="0.25">
      <c r="A34" s="2"/>
      <c r="B34" s="11">
        <f>B32-1</f>
        <v>-19</v>
      </c>
      <c r="C34" s="2"/>
      <c r="D34" s="16" t="s">
        <v>44</v>
      </c>
      <c r="E34" s="2"/>
      <c r="F34" s="17" t="str">
        <f>"("&amp;-$B$22&amp;")*"&amp;TEXT(0.00248213814542909,"0.00%")</f>
        <v>(10)*0.25%</v>
      </c>
      <c r="H34" s="31">
        <f>H$22*0.00248213814542909</f>
        <v>0</v>
      </c>
      <c r="I34" s="4">
        <f t="shared" ref="I34:X34" si="3">I$22*0.00248213814542909</f>
        <v>0</v>
      </c>
      <c r="J34" s="31">
        <f t="shared" si="3"/>
        <v>0.10451404389848135</v>
      </c>
      <c r="K34" s="4">
        <f t="shared" si="3"/>
        <v>0</v>
      </c>
      <c r="L34" s="31">
        <f t="shared" si="3"/>
        <v>0.7050001786876563</v>
      </c>
      <c r="M34" s="4">
        <f t="shared" si="3"/>
        <v>0</v>
      </c>
      <c r="N34" s="31">
        <f t="shared" si="3"/>
        <v>1.6517262821210954</v>
      </c>
      <c r="O34" s="4">
        <f t="shared" si="3"/>
        <v>0</v>
      </c>
      <c r="P34" s="31">
        <f t="shared" si="3"/>
        <v>1.8603416335528964</v>
      </c>
      <c r="Q34" s="4">
        <f t="shared" si="3"/>
        <v>0</v>
      </c>
      <c r="R34" s="31">
        <f t="shared" si="3"/>
        <v>2.2591712954179846</v>
      </c>
      <c r="S34" s="4">
        <f t="shared" si="3"/>
        <v>0</v>
      </c>
      <c r="T34" s="31">
        <f t="shared" si="3"/>
        <v>2.6473426579667345</v>
      </c>
      <c r="U34" s="4">
        <f t="shared" si="3"/>
        <v>0</v>
      </c>
      <c r="V34" s="31">
        <f t="shared" si="3"/>
        <v>1.2296355414579234</v>
      </c>
      <c r="W34" s="4">
        <f t="shared" si="3"/>
        <v>0</v>
      </c>
      <c r="X34" s="31">
        <f t="shared" si="3"/>
        <v>2.3365594784687351</v>
      </c>
    </row>
    <row r="35" spans="1:45" s="4" customFormat="1" ht="15" customHeight="1" x14ac:dyDescent="0.25">
      <c r="A35" s="2"/>
      <c r="B35" s="11">
        <f t="shared" si="1"/>
        <v>-20</v>
      </c>
      <c r="C35" s="2"/>
      <c r="D35" s="16" t="s">
        <v>45</v>
      </c>
      <c r="E35" s="2"/>
      <c r="F35" s="17" t="str">
        <f>"("&amp;-$B$22&amp;")*"&amp;TEXT(0.0119555338558597,"0.00%")</f>
        <v>(10)*1.20%</v>
      </c>
      <c r="H35" s="31">
        <f>H$22*0.0119555338558597</f>
        <v>0</v>
      </c>
      <c r="I35" s="4">
        <f t="shared" ref="I35:X35" si="4">I$22*0.0119555338558597</f>
        <v>0</v>
      </c>
      <c r="J35" s="31">
        <f t="shared" si="4"/>
        <v>0.50340517611484292</v>
      </c>
      <c r="K35" s="4">
        <f t="shared" si="4"/>
        <v>0</v>
      </c>
      <c r="L35" s="31">
        <f t="shared" si="4"/>
        <v>3.3957229657861543</v>
      </c>
      <c r="M35" s="4">
        <f t="shared" si="4"/>
        <v>0</v>
      </c>
      <c r="N35" s="31">
        <f t="shared" si="4"/>
        <v>7.9557495713431754</v>
      </c>
      <c r="O35" s="4">
        <f t="shared" si="4"/>
        <v>0</v>
      </c>
      <c r="P35" s="31">
        <f t="shared" si="4"/>
        <v>8.9605719264114931</v>
      </c>
      <c r="Q35" s="4">
        <f t="shared" si="4"/>
        <v>0</v>
      </c>
      <c r="R35" s="31">
        <f t="shared" si="4"/>
        <v>10.881585683816544</v>
      </c>
      <c r="S35" s="4">
        <f t="shared" si="4"/>
        <v>0</v>
      </c>
      <c r="T35" s="31">
        <f t="shared" si="4"/>
        <v>12.751262387900438</v>
      </c>
      <c r="U35" s="4">
        <f t="shared" si="4"/>
        <v>0</v>
      </c>
      <c r="V35" s="31">
        <f t="shared" si="4"/>
        <v>5.9226958714367646</v>
      </c>
      <c r="W35" s="4">
        <f t="shared" si="4"/>
        <v>0</v>
      </c>
      <c r="X35" s="31">
        <f t="shared" si="4"/>
        <v>11.254335703476215</v>
      </c>
    </row>
    <row r="36" spans="1:45" s="4" customFormat="1" ht="15" customHeight="1" x14ac:dyDescent="0.25">
      <c r="A36" s="2"/>
      <c r="B36" s="11">
        <f t="shared" si="1"/>
        <v>-21</v>
      </c>
      <c r="C36" s="2"/>
      <c r="D36" s="16" t="s">
        <v>46</v>
      </c>
      <c r="E36" s="2"/>
      <c r="F36" s="17" t="str">
        <f>"("&amp;-$B$32&amp;")*"&amp;TEXT(0.125,"0.00%")</f>
        <v>(18)*12.50%</v>
      </c>
      <c r="H36" s="31">
        <f>H$32*0.125</f>
        <v>0</v>
      </c>
      <c r="I36" s="4">
        <f t="shared" ref="I36:X36" si="5">I$32*0.125</f>
        <v>0</v>
      </c>
      <c r="J36" s="31">
        <f t="shared" si="5"/>
        <v>4.0050397593282029E-2</v>
      </c>
      <c r="K36" s="4">
        <f t="shared" si="5"/>
        <v>0</v>
      </c>
      <c r="L36" s="31">
        <f t="shared" si="5"/>
        <v>0.23653173744022291</v>
      </c>
      <c r="M36" s="4">
        <f t="shared" si="5"/>
        <v>0</v>
      </c>
      <c r="N36" s="31">
        <f t="shared" si="5"/>
        <v>0.23653173744022291</v>
      </c>
      <c r="O36" s="4">
        <f t="shared" si="5"/>
        <v>0</v>
      </c>
      <c r="P36" s="31">
        <f t="shared" si="5"/>
        <v>0.23653173744022291</v>
      </c>
      <c r="Q36" s="4">
        <f t="shared" si="5"/>
        <v>0</v>
      </c>
      <c r="R36" s="31">
        <f t="shared" si="5"/>
        <v>0.23653173744022291</v>
      </c>
      <c r="S36" s="4">
        <f t="shared" si="5"/>
        <v>0</v>
      </c>
      <c r="T36" s="31">
        <f t="shared" si="5"/>
        <v>0.23653173744022291</v>
      </c>
      <c r="U36" s="4">
        <f t="shared" si="5"/>
        <v>0</v>
      </c>
      <c r="V36" s="31">
        <f t="shared" si="5"/>
        <v>0.23653173744022291</v>
      </c>
      <c r="W36" s="4">
        <f t="shared" si="5"/>
        <v>0</v>
      </c>
      <c r="X36" s="31">
        <f t="shared" si="5"/>
        <v>0.23653173744022291</v>
      </c>
    </row>
    <row r="37" spans="1:45" s="4" customFormat="1" ht="15" customHeight="1" x14ac:dyDescent="0.25">
      <c r="A37" s="2"/>
      <c r="B37" s="11">
        <f t="shared" si="1"/>
        <v>-22</v>
      </c>
      <c r="C37" s="2"/>
      <c r="D37" s="18" t="s">
        <v>69</v>
      </c>
      <c r="E37" s="2"/>
      <c r="F37" s="17" t="str">
        <f>"("&amp;-$B34&amp;")+("&amp;-$B35&amp;")+("&amp;-$B36&amp;")"</f>
        <v>(19)+(20)+(21)</v>
      </c>
      <c r="H37" s="19">
        <f>H34+H35+H36</f>
        <v>0</v>
      </c>
      <c r="J37" s="19">
        <f>J34+J35+J36</f>
        <v>0.64796961760660632</v>
      </c>
      <c r="L37" s="19">
        <f>L34+L35+L36</f>
        <v>4.337254881914034</v>
      </c>
      <c r="N37" s="19">
        <f>N34+N35+N36</f>
        <v>9.8440075909044928</v>
      </c>
      <c r="P37" s="19">
        <f>P34+P35+P36</f>
        <v>11.057445297404611</v>
      </c>
      <c r="R37" s="19">
        <f>R34+R35+R36</f>
        <v>13.37728871667475</v>
      </c>
      <c r="T37" s="19">
        <f>T34+T35+T36</f>
        <v>15.635136783307393</v>
      </c>
      <c r="V37" s="19">
        <f>V34+V35+V36</f>
        <v>7.3888631503349105</v>
      </c>
      <c r="X37" s="19">
        <f>X34+X35+X36</f>
        <v>13.827426919385173</v>
      </c>
    </row>
    <row r="38" spans="1:45" s="4" customFormat="1" ht="15" customHeight="1" thickBot="1" x14ac:dyDescent="0.3">
      <c r="A38" s="2"/>
      <c r="B38" s="11">
        <f t="shared" si="1"/>
        <v>-23</v>
      </c>
      <c r="C38" s="2"/>
      <c r="D38" s="18" t="s">
        <v>47</v>
      </c>
      <c r="E38" s="2"/>
      <c r="F38" s="17" t="str">
        <f>"("&amp;-$B$37&amp;")*"&amp;TEXT(0.0900532910551969,"0.00%")</f>
        <v>(22)*9.01%</v>
      </c>
      <c r="H38" s="29">
        <f>H37*0.0900532910551969</f>
        <v>0</v>
      </c>
      <c r="I38" s="4">
        <f t="shared" ref="I38:X38" si="6">I37*0.0900532910551969</f>
        <v>0</v>
      </c>
      <c r="J38" s="29">
        <f t="shared" si="6"/>
        <v>5.8351796569252351E-2</v>
      </c>
      <c r="K38" s="4">
        <f t="shared" si="6"/>
        <v>0</v>
      </c>
      <c r="L38" s="29">
        <f t="shared" si="6"/>
        <v>0.39058407626157815</v>
      </c>
      <c r="M38" s="4">
        <f t="shared" si="6"/>
        <v>0</v>
      </c>
      <c r="N38" s="29">
        <f t="shared" si="6"/>
        <v>0.88648528073328992</v>
      </c>
      <c r="O38" s="4">
        <f t="shared" si="6"/>
        <v>0</v>
      </c>
      <c r="P38" s="29">
        <f t="shared" si="6"/>
        <v>0.99575933969409558</v>
      </c>
      <c r="Q38" s="4">
        <f t="shared" si="6"/>
        <v>0</v>
      </c>
      <c r="R38" s="29">
        <f t="shared" si="6"/>
        <v>1.2046688743321126</v>
      </c>
      <c r="S38" s="4">
        <f t="shared" si="6"/>
        <v>0</v>
      </c>
      <c r="T38" s="29">
        <f t="shared" si="6"/>
        <v>1.4079955234349957</v>
      </c>
      <c r="U38" s="4">
        <f t="shared" si="6"/>
        <v>0</v>
      </c>
      <c r="V38" s="29">
        <f t="shared" si="6"/>
        <v>0.66539144384412874</v>
      </c>
      <c r="W38" s="4">
        <f t="shared" si="6"/>
        <v>0</v>
      </c>
      <c r="X38" s="29">
        <f t="shared" si="6"/>
        <v>1.2452053009158577</v>
      </c>
    </row>
    <row r="39" spans="1:45" s="4" customFormat="1" ht="15" customHeight="1" x14ac:dyDescent="0.25">
      <c r="A39" s="2"/>
      <c r="B39" s="11">
        <f t="shared" si="1"/>
        <v>-24</v>
      </c>
      <c r="C39" s="2"/>
      <c r="D39" s="34" t="s">
        <v>70</v>
      </c>
      <c r="E39" s="2"/>
      <c r="F39" s="17" t="str">
        <f>"("&amp;-$B27&amp;")+("&amp;-$B32&amp;")+("&amp;-$B38&amp;")"</f>
        <v>(14)+(18)+(23)</v>
      </c>
      <c r="G39" s="2"/>
      <c r="H39" s="35">
        <f>H27+H32+H38</f>
        <v>0</v>
      </c>
      <c r="I39" s="36"/>
      <c r="J39" s="35">
        <f>J27+J32+J38</f>
        <v>4.7507122625515574</v>
      </c>
      <c r="K39" s="36"/>
      <c r="L39" s="35">
        <f>L27+L32+L38</f>
        <v>31.773904939952399</v>
      </c>
      <c r="M39" s="36"/>
      <c r="N39" s="35">
        <f>N27+N32+N38</f>
        <v>71.872580380672986</v>
      </c>
      <c r="O39" s="36"/>
      <c r="P39" s="35">
        <f>P27+P32+P38</f>
        <v>80.708503715498168</v>
      </c>
      <c r="Q39" s="36"/>
      <c r="R39" s="35">
        <f>R27+R32+R38</f>
        <v>97.600972518524998</v>
      </c>
      <c r="S39" s="36"/>
      <c r="T39" s="35">
        <f>T27+T32+T38</f>
        <v>114.04200802581195</v>
      </c>
      <c r="U39" s="36"/>
      <c r="V39" s="35">
        <f>V27+V32+V38</f>
        <v>53.994886341178436</v>
      </c>
      <c r="W39" s="36"/>
      <c r="X39" s="35">
        <f>X27+X32+X38</f>
        <v>100.87875647720644</v>
      </c>
    </row>
    <row r="40" spans="1:45" s="4" customFormat="1" ht="15" customHeight="1" x14ac:dyDescent="0.25">
      <c r="A40" s="2"/>
      <c r="B40" s="11">
        <f t="shared" si="1"/>
        <v>-25</v>
      </c>
      <c r="C40" s="2"/>
      <c r="D40" s="34" t="s">
        <v>48</v>
      </c>
      <c r="E40" s="2"/>
      <c r="F40" s="17"/>
      <c r="G40" s="2"/>
      <c r="H40" s="31">
        <v>0</v>
      </c>
      <c r="J40" s="31">
        <v>1.0555363627900001</v>
      </c>
      <c r="L40" s="31">
        <v>1.0555363627900001</v>
      </c>
      <c r="N40" s="31">
        <v>1.0555363627900001</v>
      </c>
      <c r="P40" s="31">
        <v>1.0555363627900001</v>
      </c>
      <c r="R40" s="31">
        <v>1.0555363627900001</v>
      </c>
      <c r="T40" s="31">
        <v>1.0555363627900001</v>
      </c>
      <c r="V40" s="31">
        <v>1.0555363627900001</v>
      </c>
      <c r="X40" s="31">
        <v>1.0555363627900001</v>
      </c>
    </row>
    <row r="41" spans="1:45" s="4" customFormat="1" ht="15" customHeight="1" thickBot="1" x14ac:dyDescent="0.3">
      <c r="A41" s="2"/>
      <c r="B41" s="37">
        <f t="shared" si="1"/>
        <v>-26</v>
      </c>
      <c r="C41" s="38"/>
      <c r="D41" s="39" t="s">
        <v>71</v>
      </c>
      <c r="E41" s="38"/>
      <c r="F41" s="40" t="str">
        <f>"("&amp;-$B39&amp;")*("&amp;-$B40&amp;")"</f>
        <v>(24)*(25)</v>
      </c>
      <c r="G41" s="38"/>
      <c r="H41" s="41">
        <f>H39*H40</f>
        <v>0</v>
      </c>
      <c r="I41" s="42"/>
      <c r="J41" s="41">
        <f>J39*J40</f>
        <v>5.0145495422755229</v>
      </c>
      <c r="K41" s="42"/>
      <c r="L41" s="41">
        <f>L39*L40</f>
        <v>33.538512051952573</v>
      </c>
      <c r="M41" s="42"/>
      <c r="N41" s="41">
        <f>N39*N40</f>
        <v>75.864122079347482</v>
      </c>
      <c r="O41" s="42"/>
      <c r="P41" s="41">
        <f>P39*P40</f>
        <v>85.190760458080149</v>
      </c>
      <c r="Q41" s="42"/>
      <c r="R41" s="41">
        <f>R39*R40</f>
        <v>103.02137553697062</v>
      </c>
      <c r="S41" s="42"/>
      <c r="T41" s="41">
        <f>T39*T40</f>
        <v>120.37548635683355</v>
      </c>
      <c r="U41" s="42"/>
      <c r="V41" s="41">
        <f>V39*V40</f>
        <v>56.993565937826943</v>
      </c>
      <c r="W41" s="42"/>
      <c r="X41" s="41">
        <f>X39*X40</f>
        <v>106.48119569472864</v>
      </c>
    </row>
    <row r="42" spans="1:45" s="4" customFormat="1" ht="12.75" customHeight="1" thickTop="1" x14ac:dyDescent="0.25">
      <c r="A42" s="2"/>
      <c r="B42" s="37"/>
      <c r="C42" s="38"/>
      <c r="D42" s="39"/>
      <c r="E42" s="38"/>
    </row>
    <row r="43" spans="1:45" s="4" customFormat="1" ht="15" x14ac:dyDescent="0.2">
      <c r="B43" s="45" t="s">
        <v>90</v>
      </c>
      <c r="D43" s="3"/>
      <c r="E43" s="2"/>
      <c r="F43" s="46"/>
      <c r="G43" s="3"/>
      <c r="H43" s="31"/>
      <c r="J43" s="4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45" s="4" customFormat="1" ht="12.75" customHeight="1" x14ac:dyDescent="0.2">
      <c r="A44" s="3"/>
      <c r="B44" s="55">
        <v>1</v>
      </c>
      <c r="C44" s="2"/>
      <c r="D44" s="2" t="s">
        <v>19</v>
      </c>
      <c r="E44" s="2"/>
      <c r="F44" s="46"/>
      <c r="G44" s="3"/>
      <c r="H44" s="43"/>
      <c r="I44" s="44"/>
      <c r="J44" s="47"/>
      <c r="K44" s="44"/>
      <c r="L44" s="3"/>
      <c r="M44" s="3"/>
      <c r="N44" s="3"/>
      <c r="O44" s="3"/>
      <c r="P44" s="3"/>
      <c r="Q44" s="3"/>
      <c r="R44" s="3"/>
      <c r="S44" s="3"/>
      <c r="T44" s="3"/>
      <c r="U44" s="3"/>
      <c r="W44" s="3"/>
      <c r="X44" s="3"/>
      <c r="Y44" s="3"/>
    </row>
    <row r="45" spans="1:45" s="4" customFormat="1" ht="12.75" customHeight="1" x14ac:dyDescent="0.2">
      <c r="A45" s="3"/>
      <c r="B45" s="55">
        <f>B44+1</f>
        <v>2</v>
      </c>
      <c r="C45" s="2"/>
      <c r="D45" s="54" t="s">
        <v>91</v>
      </c>
      <c r="E45" s="2"/>
      <c r="F45" s="46"/>
      <c r="G45" s="3"/>
      <c r="H45" s="48"/>
      <c r="I45" s="48"/>
      <c r="J45" s="48"/>
      <c r="K45" s="48"/>
      <c r="L45" s="3"/>
      <c r="M45" s="3"/>
      <c r="N45" s="3"/>
      <c r="O45" s="3"/>
      <c r="P45" s="3"/>
      <c r="Q45" s="3"/>
      <c r="R45" s="3"/>
      <c r="S45" s="3"/>
      <c r="T45" s="3"/>
      <c r="U45" s="3"/>
      <c r="W45" s="3"/>
      <c r="X45" s="3"/>
      <c r="Y45" s="3"/>
    </row>
    <row r="46" spans="1:45" s="7" customFormat="1" ht="12.75" customHeight="1" x14ac:dyDescent="0.2">
      <c r="A46" s="2"/>
      <c r="B46" s="55">
        <f>B45+1</f>
        <v>3</v>
      </c>
      <c r="C46" s="2"/>
      <c r="D46" s="2" t="s">
        <v>92</v>
      </c>
      <c r="E46" s="2"/>
      <c r="F46" s="14"/>
      <c r="G46" s="2"/>
      <c r="H46" s="48"/>
      <c r="I46" s="48"/>
      <c r="J46" s="44"/>
      <c r="K46" s="4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</row>
    <row r="47" spans="1:45" s="7" customFormat="1" ht="12.75" customHeight="1" x14ac:dyDescent="0.2">
      <c r="A47" s="2"/>
      <c r="B47" s="55"/>
      <c r="C47" s="2"/>
      <c r="D47" s="2" t="s">
        <v>93</v>
      </c>
      <c r="E47" s="2"/>
      <c r="F47" s="14"/>
      <c r="G47" s="2"/>
      <c r="H47" s="48"/>
      <c r="I47" s="48"/>
      <c r="J47" s="44"/>
      <c r="K47" s="4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</row>
    <row r="48" spans="1:45" ht="12.75" customHeight="1" x14ac:dyDescent="0.2">
      <c r="B48" s="55">
        <f>B46+1</f>
        <v>4</v>
      </c>
      <c r="D48" s="2" t="s">
        <v>49</v>
      </c>
      <c r="F48" s="14"/>
      <c r="H48" s="48"/>
      <c r="I48" s="48"/>
      <c r="J48" s="44"/>
      <c r="K48" s="48"/>
    </row>
    <row r="49" spans="2:6" ht="12.75" customHeight="1" x14ac:dyDescent="0.25">
      <c r="B49" s="55">
        <f>B48+1</f>
        <v>5</v>
      </c>
      <c r="D49" s="2" t="s">
        <v>20</v>
      </c>
      <c r="F49" s="14"/>
    </row>
    <row r="50" spans="2:6" ht="12.75" customHeight="1" x14ac:dyDescent="0.25">
      <c r="B50" s="55">
        <f t="shared" ref="B50:B56" si="7">B49+1</f>
        <v>6</v>
      </c>
      <c r="D50" s="2" t="s">
        <v>50</v>
      </c>
      <c r="F50" s="14"/>
    </row>
    <row r="51" spans="2:6" ht="12.75" customHeight="1" x14ac:dyDescent="0.25">
      <c r="B51" s="55">
        <f t="shared" si="7"/>
        <v>7</v>
      </c>
      <c r="D51" s="2" t="s">
        <v>51</v>
      </c>
      <c r="F51" s="14"/>
    </row>
    <row r="52" spans="2:6" ht="12.75" customHeight="1" x14ac:dyDescent="0.25">
      <c r="B52" s="55">
        <f t="shared" si="7"/>
        <v>8</v>
      </c>
      <c r="D52" s="2" t="s">
        <v>52</v>
      </c>
      <c r="F52" s="14"/>
    </row>
    <row r="53" spans="2:6" ht="12.75" customHeight="1" x14ac:dyDescent="0.25">
      <c r="B53" s="55">
        <f t="shared" si="7"/>
        <v>9</v>
      </c>
      <c r="D53" s="2" t="s">
        <v>53</v>
      </c>
      <c r="F53" s="14"/>
    </row>
    <row r="54" spans="2:6" ht="12.75" customHeight="1" x14ac:dyDescent="0.25">
      <c r="B54" s="55">
        <f t="shared" si="7"/>
        <v>10</v>
      </c>
      <c r="D54" s="2" t="s">
        <v>22</v>
      </c>
      <c r="F54" s="14"/>
    </row>
    <row r="55" spans="2:6" ht="12.75" customHeight="1" x14ac:dyDescent="0.25">
      <c r="B55" s="55">
        <f t="shared" si="7"/>
        <v>11</v>
      </c>
      <c r="D55" s="2" t="s">
        <v>94</v>
      </c>
      <c r="F55" s="14"/>
    </row>
    <row r="56" spans="2:6" x14ac:dyDescent="0.25">
      <c r="B56" s="55">
        <f t="shared" si="7"/>
        <v>12</v>
      </c>
      <c r="D56" s="2" t="s">
        <v>54</v>
      </c>
    </row>
    <row r="57" spans="2:6" x14ac:dyDescent="0.25">
      <c r="F57" s="14"/>
    </row>
    <row r="58" spans="2:6" x14ac:dyDescent="0.25">
      <c r="F58" s="14"/>
    </row>
    <row r="59" spans="2:6" x14ac:dyDescent="0.25">
      <c r="F59" s="14"/>
    </row>
    <row r="60" spans="2:6" x14ac:dyDescent="0.25">
      <c r="F60" s="14"/>
    </row>
    <row r="61" spans="2:6" x14ac:dyDescent="0.25">
      <c r="F61" s="14"/>
    </row>
  </sheetData>
  <printOptions horizontalCentered="1"/>
  <pageMargins left="0.7" right="0.7" top="0.75" bottom="0.75" header="0.3" footer="0.3"/>
  <pageSetup scale="64" orientation="landscape" r:id="rId1"/>
  <headerFooter>
    <oddHeader>&amp;R&amp;"Times New Roman,Regular"NERA Exhibit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Overall</vt:lpstr>
      <vt:lpstr>LSRV + DRV</vt:lpstr>
      <vt:lpstr>'LSRV + DRV'!Print_Area</vt:lpstr>
      <vt:lpstr>Overall!Print_Area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Hopkins, Walter</dc:creator>
  <cp:lastModifiedBy>Iberdrola S.A.</cp:lastModifiedBy>
  <cp:lastPrinted>2018-07-30T19:47:28Z</cp:lastPrinted>
  <dcterms:created xsi:type="dcterms:W3CDTF">2018-07-27T21:46:24Z</dcterms:created>
  <dcterms:modified xsi:type="dcterms:W3CDTF">2018-08-01T16:28:02Z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MSOLanguageID">
    <vt:lpwstr>msoLanguageIDEnglishUS</vt:lpwstr>
  </property>
  <property fmtid="{D5CDD505-2E9C-101B-9397-08002B2CF9AE}" pid="3" name="{A44787D4-0540-4523-9961-78E4036D8C6D}">
    <vt:lpwstr>{3C1709DC-E172-4CF5-B654-C67C0B98CE1D}</vt:lpwstr>
  </property>
  <property fmtid="{D5CDD505-2E9C-101B-9397-08002B2CF9AE}" pid="4" name="_AdHocReviewCycleID">
    <vt:i4>-1070002330</vt:i4>
  </property>
  <property fmtid="{D5CDD505-2E9C-101B-9397-08002B2CF9AE}" pid="5" name="_NewReviewCycle">
    <vt:lpwstr/>
  </property>
  <property fmtid="{D5CDD505-2E9C-101B-9397-08002B2CF9AE}" pid="6" name="_EmailSubject">
    <vt:lpwstr>Marginal Study Link</vt:lpwstr>
  </property>
  <property fmtid="{D5CDD505-2E9C-101B-9397-08002B2CF9AE}" pid="7" name="_AuthorEmail">
    <vt:lpwstr>Sue_Morien@rge.com</vt:lpwstr>
  </property>
  <property fmtid="{D5CDD505-2E9C-101B-9397-08002B2CF9AE}" pid="8" name="_AuthorEmailDisplayName">
    <vt:lpwstr>Morien, Sue</vt:lpwstr>
  </property>
</Properties>
</file>